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80" windowWidth="9570" windowHeight="2445" activeTab="0"/>
  </bookViews>
  <sheets>
    <sheet name="91乙134" sheetId="1" r:id="rId1"/>
  </sheets>
  <definedNames>
    <definedName name="_Regression_Int" localSheetId="0" hidden="1">1</definedName>
    <definedName name="_xlnm.Print_Area" localSheetId="0">'91乙134'!$A$1:$I$283</definedName>
    <definedName name="Print_Area_MI" localSheetId="0">'91乙134'!$A$1:$I$282</definedName>
    <definedName name="_xlnm.Print_Titles" localSheetId="0">'91乙134'!$1:$6</definedName>
  </definedNames>
  <calcPr fullCalcOnLoad="1"/>
</workbook>
</file>

<file path=xl/sharedStrings.xml><?xml version="1.0" encoding="utf-8"?>
<sst xmlns="http://schemas.openxmlformats.org/spreadsheetml/2006/main" count="266" uniqueCount="95">
  <si>
    <t>乙    固定資產建設改良擴充</t>
  </si>
  <si>
    <t xml:space="preserve"> </t>
  </si>
  <si>
    <t>單位:新臺幣元</t>
  </si>
  <si>
    <t xml:space="preserve"> 機  關  名  稱</t>
  </si>
  <si>
    <t>科       目</t>
  </si>
  <si>
    <t>決    算    數</t>
  </si>
  <si>
    <t>比  較  增  減</t>
  </si>
  <si>
    <t>上年度餘額轉入數</t>
  </si>
  <si>
    <t>本年度預算數</t>
  </si>
  <si>
    <t xml:space="preserve"> 合          計</t>
  </si>
  <si>
    <t>交通及運輸設備</t>
  </si>
  <si>
    <t>合          計</t>
  </si>
  <si>
    <t>　　　　　％</t>
  </si>
  <si>
    <t xml:space="preserve"> 合      計</t>
  </si>
  <si>
    <t>比較增減</t>
  </si>
  <si>
    <t>增減％</t>
  </si>
  <si>
    <t>製    造    業</t>
  </si>
  <si>
    <t>租賃權益改良</t>
  </si>
  <si>
    <t>業         別</t>
  </si>
  <si>
    <t xml:space="preserve">  決算數</t>
  </si>
  <si>
    <t>奉准先行辦理</t>
  </si>
  <si>
    <t>以前年度保留數</t>
  </si>
  <si>
    <t>奉准先行辦
理補辦預算數</t>
  </si>
  <si>
    <t>未完工程及訂購機件</t>
  </si>
  <si>
    <r>
      <t>可</t>
    </r>
    <r>
      <rPr>
        <sz val="12"/>
        <rFont val="Times New Roman"/>
        <family val="1"/>
      </rPr>
      <t xml:space="preserve">                           </t>
    </r>
    <r>
      <rPr>
        <sz val="12"/>
        <rFont val="細明體"/>
        <family val="3"/>
      </rPr>
      <t>用</t>
    </r>
    <r>
      <rPr>
        <sz val="12"/>
        <rFont val="Times New Roman"/>
        <family val="1"/>
      </rPr>
      <t xml:space="preserve">                           </t>
    </r>
    <r>
      <rPr>
        <sz val="12"/>
        <rFont val="細明體"/>
        <family val="3"/>
      </rPr>
      <t>預</t>
    </r>
    <r>
      <rPr>
        <sz val="12"/>
        <rFont val="Times New Roman"/>
        <family val="1"/>
      </rPr>
      <t xml:space="preserve">                           </t>
    </r>
    <r>
      <rPr>
        <sz val="12"/>
        <rFont val="細明體"/>
        <family val="3"/>
      </rPr>
      <t>算</t>
    </r>
    <r>
      <rPr>
        <sz val="12"/>
        <rFont val="Times New Roman"/>
        <family val="1"/>
      </rPr>
      <t xml:space="preserve">                           </t>
    </r>
    <r>
      <rPr>
        <sz val="12"/>
        <rFont val="細明體"/>
        <family val="3"/>
      </rPr>
      <t>數</t>
    </r>
  </si>
  <si>
    <r>
      <t>營</t>
    </r>
    <r>
      <rPr>
        <b/>
        <sz val="12"/>
        <rFont val="Courier"/>
        <family val="3"/>
      </rPr>
      <t xml:space="preserve"> </t>
    </r>
    <r>
      <rPr>
        <b/>
        <sz val="12"/>
        <rFont val="細明體"/>
        <family val="3"/>
      </rPr>
      <t>造</t>
    </r>
    <r>
      <rPr>
        <b/>
        <sz val="12"/>
        <rFont val="Courier"/>
        <family val="3"/>
      </rPr>
      <t xml:space="preserve"> </t>
    </r>
    <r>
      <rPr>
        <b/>
        <sz val="12"/>
        <rFont val="細明體"/>
        <family val="3"/>
      </rPr>
      <t>業</t>
    </r>
  </si>
  <si>
    <t xml:space="preserve">               固定資產建設改良擴充  乙 </t>
  </si>
  <si>
    <t>水電燃氣業</t>
  </si>
  <si>
    <t>運輸、倉儲及通信業</t>
  </si>
  <si>
    <t>金融、保險及不動產業</t>
  </si>
  <si>
    <t>批發、零售及餐飲業</t>
  </si>
  <si>
    <r>
      <t>行</t>
    </r>
    <r>
      <rPr>
        <b/>
        <sz val="13"/>
        <rFont val="Times New Roman"/>
        <family val="1"/>
      </rPr>
      <t xml:space="preserve"> </t>
    </r>
    <r>
      <rPr>
        <b/>
        <sz val="13"/>
        <rFont val="華康中黑體"/>
        <family val="3"/>
      </rPr>
      <t>政</t>
    </r>
    <r>
      <rPr>
        <b/>
        <sz val="13"/>
        <rFont val="Times New Roman"/>
        <family val="1"/>
      </rPr>
      <t xml:space="preserve"> </t>
    </r>
    <r>
      <rPr>
        <b/>
        <sz val="13"/>
        <rFont val="華康中黑體"/>
        <family val="3"/>
      </rPr>
      <t>院</t>
    </r>
    <r>
      <rPr>
        <b/>
        <sz val="13"/>
        <rFont val="Times New Roman"/>
        <family val="1"/>
      </rPr>
      <t xml:space="preserve"> </t>
    </r>
    <r>
      <rPr>
        <b/>
        <sz val="13"/>
        <rFont val="華康中黑體"/>
        <family val="3"/>
      </rPr>
      <t>主</t>
    </r>
    <r>
      <rPr>
        <b/>
        <sz val="13"/>
        <rFont val="Times New Roman"/>
        <family val="1"/>
      </rPr>
      <t xml:space="preserve"> </t>
    </r>
    <r>
      <rPr>
        <b/>
        <sz val="13"/>
        <rFont val="華康中黑體"/>
        <family val="3"/>
      </rPr>
      <t>管</t>
    </r>
  </si>
  <si>
    <r>
      <t>土</t>
    </r>
    <r>
      <rPr>
        <sz val="13"/>
        <rFont val="Times New Roman"/>
        <family val="1"/>
      </rPr>
      <t xml:space="preserve"> </t>
    </r>
    <r>
      <rPr>
        <sz val="13"/>
        <rFont val="細明體"/>
        <family val="3"/>
      </rPr>
      <t>地</t>
    </r>
    <r>
      <rPr>
        <sz val="13"/>
        <rFont val="Times New Roman"/>
        <family val="1"/>
      </rPr>
      <t xml:space="preserve"> </t>
    </r>
    <r>
      <rPr>
        <sz val="13"/>
        <rFont val="細明體"/>
        <family val="3"/>
      </rPr>
      <t>改</t>
    </r>
    <r>
      <rPr>
        <sz val="13"/>
        <rFont val="Times New Roman"/>
        <family val="1"/>
      </rPr>
      <t xml:space="preserve"> </t>
    </r>
    <r>
      <rPr>
        <sz val="13"/>
        <rFont val="細明體"/>
        <family val="3"/>
      </rPr>
      <t>良</t>
    </r>
    <r>
      <rPr>
        <sz val="13"/>
        <rFont val="Times New Roman"/>
        <family val="1"/>
      </rPr>
      <t xml:space="preserve"> </t>
    </r>
    <r>
      <rPr>
        <sz val="13"/>
        <rFont val="細明體"/>
        <family val="3"/>
      </rPr>
      <t>物</t>
    </r>
    <r>
      <rPr>
        <sz val="13"/>
        <rFont val="Times New Roman"/>
        <family val="1"/>
      </rPr>
      <t xml:space="preserve"> </t>
    </r>
  </si>
  <si>
    <r>
      <t>房</t>
    </r>
    <r>
      <rPr>
        <sz val="13"/>
        <rFont val="Times New Roman"/>
        <family val="1"/>
      </rPr>
      <t xml:space="preserve"> </t>
    </r>
    <r>
      <rPr>
        <sz val="13"/>
        <rFont val="細明體"/>
        <family val="3"/>
      </rPr>
      <t>屋</t>
    </r>
    <r>
      <rPr>
        <sz val="13"/>
        <rFont val="Times New Roman"/>
        <family val="1"/>
      </rPr>
      <t xml:space="preserve"> </t>
    </r>
    <r>
      <rPr>
        <sz val="13"/>
        <rFont val="細明體"/>
        <family val="3"/>
      </rPr>
      <t>及</t>
    </r>
    <r>
      <rPr>
        <sz val="13"/>
        <rFont val="Times New Roman"/>
        <family val="1"/>
      </rPr>
      <t xml:space="preserve"> </t>
    </r>
    <r>
      <rPr>
        <sz val="13"/>
        <rFont val="細明體"/>
        <family val="3"/>
      </rPr>
      <t>建</t>
    </r>
    <r>
      <rPr>
        <sz val="13"/>
        <rFont val="Times New Roman"/>
        <family val="1"/>
      </rPr>
      <t xml:space="preserve"> </t>
    </r>
    <r>
      <rPr>
        <sz val="13"/>
        <rFont val="細明體"/>
        <family val="3"/>
      </rPr>
      <t>築</t>
    </r>
  </si>
  <si>
    <r>
      <t>機</t>
    </r>
    <r>
      <rPr>
        <sz val="13"/>
        <rFont val="Times New Roman"/>
        <family val="1"/>
      </rPr>
      <t xml:space="preserve"> </t>
    </r>
    <r>
      <rPr>
        <sz val="13"/>
        <rFont val="細明體"/>
        <family val="3"/>
      </rPr>
      <t>械</t>
    </r>
    <r>
      <rPr>
        <sz val="13"/>
        <rFont val="Times New Roman"/>
        <family val="1"/>
      </rPr>
      <t xml:space="preserve"> </t>
    </r>
    <r>
      <rPr>
        <sz val="13"/>
        <rFont val="細明體"/>
        <family val="3"/>
      </rPr>
      <t>及</t>
    </r>
    <r>
      <rPr>
        <sz val="13"/>
        <rFont val="Times New Roman"/>
        <family val="1"/>
      </rPr>
      <t xml:space="preserve"> </t>
    </r>
    <r>
      <rPr>
        <sz val="13"/>
        <rFont val="細明體"/>
        <family val="3"/>
      </rPr>
      <t>設</t>
    </r>
    <r>
      <rPr>
        <sz val="13"/>
        <rFont val="Times New Roman"/>
        <family val="1"/>
      </rPr>
      <t xml:space="preserve"> </t>
    </r>
    <r>
      <rPr>
        <sz val="13"/>
        <rFont val="細明體"/>
        <family val="3"/>
      </rPr>
      <t>備</t>
    </r>
  </si>
  <si>
    <r>
      <t>什</t>
    </r>
    <r>
      <rPr>
        <sz val="13"/>
        <rFont val="Times New Roman"/>
        <family val="1"/>
      </rPr>
      <t xml:space="preserve">  </t>
    </r>
    <r>
      <rPr>
        <sz val="13"/>
        <rFont val="細明體"/>
        <family val="3"/>
      </rPr>
      <t>項</t>
    </r>
    <r>
      <rPr>
        <sz val="13"/>
        <rFont val="Times New Roman"/>
        <family val="1"/>
      </rPr>
      <t xml:space="preserve">  </t>
    </r>
    <r>
      <rPr>
        <sz val="13"/>
        <rFont val="細明體"/>
        <family val="3"/>
      </rPr>
      <t>設</t>
    </r>
    <r>
      <rPr>
        <sz val="13"/>
        <rFont val="Times New Roman"/>
        <family val="1"/>
      </rPr>
      <t xml:space="preserve">  </t>
    </r>
    <r>
      <rPr>
        <sz val="13"/>
        <rFont val="細明體"/>
        <family val="3"/>
      </rPr>
      <t>備</t>
    </r>
  </si>
  <si>
    <t>未完工程及訂購機件</t>
  </si>
  <si>
    <r>
      <t>土</t>
    </r>
    <r>
      <rPr>
        <sz val="13"/>
        <rFont val="Times New Roman"/>
        <family val="1"/>
      </rPr>
      <t xml:space="preserve">          </t>
    </r>
    <r>
      <rPr>
        <sz val="13"/>
        <rFont val="細明體"/>
        <family val="3"/>
      </rPr>
      <t>地</t>
    </r>
  </si>
  <si>
    <r>
      <t>房</t>
    </r>
    <r>
      <rPr>
        <sz val="13"/>
        <rFont val="Times New Roman"/>
        <family val="1"/>
      </rPr>
      <t xml:space="preserve">  </t>
    </r>
    <r>
      <rPr>
        <sz val="13"/>
        <rFont val="新細明體"/>
        <family val="1"/>
      </rPr>
      <t>屋</t>
    </r>
    <r>
      <rPr>
        <sz val="13"/>
        <rFont val="Times New Roman"/>
        <family val="1"/>
      </rPr>
      <t xml:space="preserve">  </t>
    </r>
    <r>
      <rPr>
        <sz val="13"/>
        <rFont val="新細明體"/>
        <family val="1"/>
      </rPr>
      <t>及</t>
    </r>
    <r>
      <rPr>
        <sz val="13"/>
        <rFont val="Times New Roman"/>
        <family val="1"/>
      </rPr>
      <t xml:space="preserve">  </t>
    </r>
    <r>
      <rPr>
        <sz val="13"/>
        <rFont val="新細明體"/>
        <family val="1"/>
      </rPr>
      <t>建</t>
    </r>
    <r>
      <rPr>
        <sz val="13"/>
        <rFont val="Times New Roman"/>
        <family val="1"/>
      </rPr>
      <t xml:space="preserve">  </t>
    </r>
    <r>
      <rPr>
        <sz val="13"/>
        <rFont val="新細明體"/>
        <family val="1"/>
      </rPr>
      <t>築</t>
    </r>
  </si>
  <si>
    <r>
      <t>租</t>
    </r>
    <r>
      <rPr>
        <sz val="13"/>
        <rFont val="Times New Roman"/>
        <family val="1"/>
      </rPr>
      <t xml:space="preserve"> </t>
    </r>
    <r>
      <rPr>
        <sz val="13"/>
        <rFont val="細明體"/>
        <family val="3"/>
      </rPr>
      <t>賃</t>
    </r>
    <r>
      <rPr>
        <sz val="13"/>
        <rFont val="Times New Roman"/>
        <family val="1"/>
      </rPr>
      <t xml:space="preserve"> </t>
    </r>
    <r>
      <rPr>
        <sz val="13"/>
        <rFont val="細明體"/>
        <family val="3"/>
      </rPr>
      <t>權</t>
    </r>
    <r>
      <rPr>
        <sz val="13"/>
        <rFont val="Times New Roman"/>
        <family val="1"/>
      </rPr>
      <t xml:space="preserve"> </t>
    </r>
    <r>
      <rPr>
        <sz val="13"/>
        <rFont val="細明體"/>
        <family val="3"/>
      </rPr>
      <t>益</t>
    </r>
    <r>
      <rPr>
        <sz val="13"/>
        <rFont val="Times New Roman"/>
        <family val="1"/>
      </rPr>
      <t xml:space="preserve"> </t>
    </r>
    <r>
      <rPr>
        <sz val="13"/>
        <rFont val="細明體"/>
        <family val="3"/>
      </rPr>
      <t>改</t>
    </r>
    <r>
      <rPr>
        <sz val="13"/>
        <rFont val="Times New Roman"/>
        <family val="1"/>
      </rPr>
      <t xml:space="preserve"> </t>
    </r>
    <r>
      <rPr>
        <sz val="13"/>
        <rFont val="細明體"/>
        <family val="3"/>
      </rPr>
      <t>良</t>
    </r>
  </si>
  <si>
    <r>
      <t>核</t>
    </r>
    <r>
      <rPr>
        <sz val="13"/>
        <rFont val="Times New Roman"/>
        <family val="1"/>
      </rPr>
      <t xml:space="preserve">  </t>
    </r>
    <r>
      <rPr>
        <sz val="13"/>
        <rFont val="細明體"/>
        <family val="3"/>
      </rPr>
      <t>能</t>
    </r>
    <r>
      <rPr>
        <sz val="13"/>
        <rFont val="Times New Roman"/>
        <family val="1"/>
      </rPr>
      <t xml:space="preserve">  </t>
    </r>
    <r>
      <rPr>
        <sz val="13"/>
        <rFont val="細明體"/>
        <family val="3"/>
      </rPr>
      <t>燃</t>
    </r>
    <r>
      <rPr>
        <sz val="13"/>
        <rFont val="Times New Roman"/>
        <family val="1"/>
      </rPr>
      <t xml:space="preserve">  </t>
    </r>
    <r>
      <rPr>
        <sz val="13"/>
        <rFont val="細明體"/>
        <family val="3"/>
      </rPr>
      <t>料</t>
    </r>
  </si>
  <si>
    <t>未完工程及訂購機件</t>
  </si>
  <si>
    <r>
      <t>土</t>
    </r>
    <r>
      <rPr>
        <sz val="13"/>
        <rFont val="Times New Roman"/>
        <family val="1"/>
      </rPr>
      <t xml:space="preserve">          </t>
    </r>
    <r>
      <rPr>
        <sz val="13"/>
        <rFont val="細明體"/>
        <family val="3"/>
      </rPr>
      <t>地</t>
    </r>
    <r>
      <rPr>
        <sz val="13"/>
        <rFont val="Times New Roman"/>
        <family val="1"/>
      </rPr>
      <t xml:space="preserve"> </t>
    </r>
  </si>
  <si>
    <r>
      <t>土</t>
    </r>
    <r>
      <rPr>
        <sz val="13"/>
        <rFont val="Times New Roman"/>
        <family val="1"/>
      </rPr>
      <t xml:space="preserve">                   </t>
    </r>
    <r>
      <rPr>
        <sz val="13"/>
        <rFont val="細明體"/>
        <family val="3"/>
      </rPr>
      <t>地</t>
    </r>
    <r>
      <rPr>
        <sz val="13"/>
        <rFont val="Times New Roman"/>
        <family val="1"/>
      </rPr>
      <t xml:space="preserve"> </t>
    </r>
  </si>
  <si>
    <r>
      <t>財</t>
    </r>
    <r>
      <rPr>
        <b/>
        <sz val="13"/>
        <rFont val="Times New Roman"/>
        <family val="1"/>
      </rPr>
      <t xml:space="preserve"> </t>
    </r>
    <r>
      <rPr>
        <b/>
        <sz val="13"/>
        <rFont val="華康中黑體"/>
        <family val="3"/>
      </rPr>
      <t>政</t>
    </r>
    <r>
      <rPr>
        <b/>
        <sz val="13"/>
        <rFont val="Times New Roman"/>
        <family val="1"/>
      </rPr>
      <t xml:space="preserve"> </t>
    </r>
    <r>
      <rPr>
        <b/>
        <sz val="13"/>
        <rFont val="華康中黑體"/>
        <family val="3"/>
      </rPr>
      <t>部</t>
    </r>
    <r>
      <rPr>
        <b/>
        <sz val="13"/>
        <rFont val="Times New Roman"/>
        <family val="1"/>
      </rPr>
      <t xml:space="preserve"> </t>
    </r>
    <r>
      <rPr>
        <b/>
        <sz val="13"/>
        <rFont val="華康中黑體"/>
        <family val="3"/>
      </rPr>
      <t>主</t>
    </r>
    <r>
      <rPr>
        <b/>
        <sz val="13"/>
        <rFont val="Times New Roman"/>
        <family val="1"/>
      </rPr>
      <t xml:space="preserve"> </t>
    </r>
    <r>
      <rPr>
        <b/>
        <sz val="13"/>
        <rFont val="華康中黑體"/>
        <family val="3"/>
      </rPr>
      <t>管</t>
    </r>
  </si>
  <si>
    <r>
      <t>土</t>
    </r>
    <r>
      <rPr>
        <sz val="13"/>
        <rFont val="Times New Roman"/>
        <family val="1"/>
      </rPr>
      <t xml:space="preserve"> </t>
    </r>
    <r>
      <rPr>
        <sz val="13"/>
        <rFont val="細明體"/>
        <family val="3"/>
      </rPr>
      <t>地</t>
    </r>
    <r>
      <rPr>
        <sz val="13"/>
        <rFont val="Times New Roman"/>
        <family val="1"/>
      </rPr>
      <t xml:space="preserve"> </t>
    </r>
    <r>
      <rPr>
        <sz val="13"/>
        <rFont val="細明體"/>
        <family val="3"/>
      </rPr>
      <t>改</t>
    </r>
    <r>
      <rPr>
        <sz val="13"/>
        <rFont val="Times New Roman"/>
        <family val="1"/>
      </rPr>
      <t xml:space="preserve"> </t>
    </r>
    <r>
      <rPr>
        <sz val="13"/>
        <rFont val="細明體"/>
        <family val="3"/>
      </rPr>
      <t>良</t>
    </r>
    <r>
      <rPr>
        <sz val="13"/>
        <rFont val="Times New Roman"/>
        <family val="1"/>
      </rPr>
      <t xml:space="preserve"> </t>
    </r>
    <r>
      <rPr>
        <sz val="13"/>
        <rFont val="細明體"/>
        <family val="3"/>
      </rPr>
      <t>物</t>
    </r>
  </si>
  <si>
    <r>
      <t>房</t>
    </r>
    <r>
      <rPr>
        <sz val="13"/>
        <rFont val="Times New Roman"/>
        <family val="1"/>
      </rPr>
      <t xml:space="preserve"> </t>
    </r>
    <r>
      <rPr>
        <sz val="13"/>
        <rFont val="細明體"/>
        <family val="3"/>
      </rPr>
      <t>屋</t>
    </r>
    <r>
      <rPr>
        <sz val="13"/>
        <rFont val="Times New Roman"/>
        <family val="1"/>
      </rPr>
      <t xml:space="preserve"> </t>
    </r>
    <r>
      <rPr>
        <sz val="13"/>
        <rFont val="細明體"/>
        <family val="3"/>
      </rPr>
      <t>及</t>
    </r>
    <r>
      <rPr>
        <sz val="13"/>
        <rFont val="Times New Roman"/>
        <family val="1"/>
      </rPr>
      <t xml:space="preserve"> </t>
    </r>
    <r>
      <rPr>
        <sz val="13"/>
        <rFont val="細明體"/>
        <family val="3"/>
      </rPr>
      <t>建</t>
    </r>
    <r>
      <rPr>
        <sz val="13"/>
        <rFont val="Times New Roman"/>
        <family val="1"/>
      </rPr>
      <t xml:space="preserve"> </t>
    </r>
    <r>
      <rPr>
        <sz val="13"/>
        <rFont val="細明體"/>
        <family val="3"/>
      </rPr>
      <t>築</t>
    </r>
  </si>
  <si>
    <r>
      <t>土</t>
    </r>
    <r>
      <rPr>
        <sz val="13"/>
        <rFont val="Times New Roman"/>
        <family val="1"/>
      </rPr>
      <t xml:space="preserve">  </t>
    </r>
    <r>
      <rPr>
        <sz val="13"/>
        <rFont val="細明體"/>
        <family val="3"/>
      </rPr>
      <t>地</t>
    </r>
    <r>
      <rPr>
        <sz val="13"/>
        <rFont val="Times New Roman"/>
        <family val="1"/>
      </rPr>
      <t xml:space="preserve">  </t>
    </r>
    <r>
      <rPr>
        <sz val="13"/>
        <rFont val="細明體"/>
        <family val="3"/>
      </rPr>
      <t>改</t>
    </r>
    <r>
      <rPr>
        <sz val="13"/>
        <rFont val="Times New Roman"/>
        <family val="1"/>
      </rPr>
      <t xml:space="preserve">  </t>
    </r>
    <r>
      <rPr>
        <sz val="13"/>
        <rFont val="細明體"/>
        <family val="3"/>
      </rPr>
      <t>良</t>
    </r>
    <r>
      <rPr>
        <sz val="13"/>
        <rFont val="Times New Roman"/>
        <family val="1"/>
      </rPr>
      <t xml:space="preserve">  </t>
    </r>
    <r>
      <rPr>
        <sz val="13"/>
        <rFont val="細明體"/>
        <family val="3"/>
      </rPr>
      <t>物</t>
    </r>
  </si>
  <si>
    <r>
      <t>教</t>
    </r>
    <r>
      <rPr>
        <b/>
        <sz val="13"/>
        <rFont val="Times New Roman"/>
        <family val="1"/>
      </rPr>
      <t xml:space="preserve"> </t>
    </r>
    <r>
      <rPr>
        <b/>
        <sz val="13"/>
        <rFont val="華康中黑體"/>
        <family val="3"/>
      </rPr>
      <t>育</t>
    </r>
    <r>
      <rPr>
        <b/>
        <sz val="13"/>
        <rFont val="Times New Roman"/>
        <family val="1"/>
      </rPr>
      <t xml:space="preserve"> </t>
    </r>
    <r>
      <rPr>
        <b/>
        <sz val="13"/>
        <rFont val="華康中黑體"/>
        <family val="3"/>
      </rPr>
      <t>部</t>
    </r>
    <r>
      <rPr>
        <b/>
        <sz val="13"/>
        <rFont val="Times New Roman"/>
        <family val="1"/>
      </rPr>
      <t xml:space="preserve"> </t>
    </r>
    <r>
      <rPr>
        <b/>
        <sz val="13"/>
        <rFont val="華康中黑體"/>
        <family val="3"/>
      </rPr>
      <t>主</t>
    </r>
    <r>
      <rPr>
        <b/>
        <sz val="13"/>
        <rFont val="Times New Roman"/>
        <family val="1"/>
      </rPr>
      <t xml:space="preserve"> </t>
    </r>
    <r>
      <rPr>
        <b/>
        <sz val="13"/>
        <rFont val="華康中黑體"/>
        <family val="3"/>
      </rPr>
      <t>管</t>
    </r>
  </si>
  <si>
    <r>
      <t>交</t>
    </r>
    <r>
      <rPr>
        <b/>
        <sz val="13"/>
        <rFont val="Times New Roman"/>
        <family val="1"/>
      </rPr>
      <t xml:space="preserve"> </t>
    </r>
    <r>
      <rPr>
        <b/>
        <sz val="13"/>
        <rFont val="華康中黑體"/>
        <family val="3"/>
      </rPr>
      <t>通</t>
    </r>
    <r>
      <rPr>
        <b/>
        <sz val="13"/>
        <rFont val="Times New Roman"/>
        <family val="1"/>
      </rPr>
      <t xml:space="preserve"> </t>
    </r>
    <r>
      <rPr>
        <b/>
        <sz val="13"/>
        <rFont val="華康中黑體"/>
        <family val="3"/>
      </rPr>
      <t>部</t>
    </r>
    <r>
      <rPr>
        <b/>
        <sz val="13"/>
        <rFont val="Times New Roman"/>
        <family val="1"/>
      </rPr>
      <t xml:space="preserve"> </t>
    </r>
    <r>
      <rPr>
        <b/>
        <sz val="13"/>
        <rFont val="華康中黑體"/>
        <family val="3"/>
      </rPr>
      <t>主</t>
    </r>
    <r>
      <rPr>
        <b/>
        <sz val="13"/>
        <rFont val="Times New Roman"/>
        <family val="1"/>
      </rPr>
      <t xml:space="preserve"> </t>
    </r>
    <r>
      <rPr>
        <b/>
        <sz val="13"/>
        <rFont val="華康中黑體"/>
        <family val="3"/>
      </rPr>
      <t>管</t>
    </r>
  </si>
  <si>
    <t>.</t>
  </si>
  <si>
    <r>
      <t>退</t>
    </r>
    <r>
      <rPr>
        <b/>
        <sz val="13"/>
        <rFont val="Times New Roman"/>
        <family val="1"/>
      </rPr>
      <t xml:space="preserve"> </t>
    </r>
    <r>
      <rPr>
        <b/>
        <sz val="13"/>
        <rFont val="細明體"/>
        <family val="3"/>
      </rPr>
      <t>輔</t>
    </r>
    <r>
      <rPr>
        <b/>
        <sz val="13"/>
        <rFont val="Times New Roman"/>
        <family val="1"/>
      </rPr>
      <t xml:space="preserve"> </t>
    </r>
    <r>
      <rPr>
        <b/>
        <sz val="13"/>
        <rFont val="細明體"/>
        <family val="3"/>
      </rPr>
      <t>會</t>
    </r>
    <r>
      <rPr>
        <b/>
        <sz val="13"/>
        <rFont val="Times New Roman"/>
        <family val="1"/>
      </rPr>
      <t xml:space="preserve"> </t>
    </r>
    <r>
      <rPr>
        <b/>
        <sz val="13"/>
        <rFont val="細明體"/>
        <family val="3"/>
      </rPr>
      <t>主</t>
    </r>
    <r>
      <rPr>
        <b/>
        <sz val="13"/>
        <rFont val="Times New Roman"/>
        <family val="1"/>
      </rPr>
      <t xml:space="preserve"> </t>
    </r>
    <r>
      <rPr>
        <b/>
        <sz val="13"/>
        <rFont val="細明體"/>
        <family val="3"/>
      </rPr>
      <t>管</t>
    </r>
  </si>
  <si>
    <r>
      <t>勞</t>
    </r>
    <r>
      <rPr>
        <b/>
        <sz val="13"/>
        <rFont val="Times New Roman"/>
        <family val="1"/>
      </rPr>
      <t xml:space="preserve"> </t>
    </r>
    <r>
      <rPr>
        <b/>
        <sz val="13"/>
        <rFont val="華康中黑體"/>
        <family val="3"/>
      </rPr>
      <t>委</t>
    </r>
    <r>
      <rPr>
        <b/>
        <sz val="13"/>
        <rFont val="Times New Roman"/>
        <family val="1"/>
      </rPr>
      <t xml:space="preserve"> </t>
    </r>
    <r>
      <rPr>
        <b/>
        <sz val="13"/>
        <rFont val="華康中黑體"/>
        <family val="3"/>
      </rPr>
      <t>會</t>
    </r>
    <r>
      <rPr>
        <b/>
        <sz val="13"/>
        <rFont val="Times New Roman"/>
        <family val="1"/>
      </rPr>
      <t xml:space="preserve"> </t>
    </r>
    <r>
      <rPr>
        <b/>
        <sz val="13"/>
        <rFont val="華康中黑體"/>
        <family val="3"/>
      </rPr>
      <t>主</t>
    </r>
    <r>
      <rPr>
        <b/>
        <sz val="13"/>
        <rFont val="Times New Roman"/>
        <family val="1"/>
      </rPr>
      <t xml:space="preserve"> </t>
    </r>
    <r>
      <rPr>
        <b/>
        <sz val="13"/>
        <rFont val="華康中黑體"/>
        <family val="3"/>
      </rPr>
      <t>管</t>
    </r>
  </si>
  <si>
    <r>
      <t>衛</t>
    </r>
    <r>
      <rPr>
        <b/>
        <sz val="13"/>
        <rFont val="Times New Roman"/>
        <family val="1"/>
      </rPr>
      <t xml:space="preserve"> </t>
    </r>
    <r>
      <rPr>
        <b/>
        <sz val="13"/>
        <rFont val="華康中黑體"/>
        <family val="3"/>
      </rPr>
      <t>生</t>
    </r>
    <r>
      <rPr>
        <b/>
        <sz val="13"/>
        <rFont val="Times New Roman"/>
        <family val="1"/>
      </rPr>
      <t xml:space="preserve"> </t>
    </r>
    <r>
      <rPr>
        <b/>
        <sz val="13"/>
        <rFont val="華康中黑體"/>
        <family val="3"/>
      </rPr>
      <t>署</t>
    </r>
    <r>
      <rPr>
        <b/>
        <sz val="13"/>
        <rFont val="Times New Roman"/>
        <family val="1"/>
      </rPr>
      <t xml:space="preserve"> </t>
    </r>
    <r>
      <rPr>
        <b/>
        <sz val="13"/>
        <rFont val="華康中黑體"/>
        <family val="3"/>
      </rPr>
      <t>主</t>
    </r>
    <r>
      <rPr>
        <b/>
        <sz val="13"/>
        <rFont val="Times New Roman"/>
        <family val="1"/>
      </rPr>
      <t xml:space="preserve"> </t>
    </r>
    <r>
      <rPr>
        <b/>
        <sz val="13"/>
        <rFont val="華康中黑體"/>
        <family val="3"/>
      </rPr>
      <t>管</t>
    </r>
  </si>
  <si>
    <t xml:space="preserve"> </t>
  </si>
  <si>
    <r>
      <t>合</t>
    </r>
    <r>
      <rPr>
        <b/>
        <sz val="13"/>
        <rFont val="Times New Roman"/>
        <family val="1"/>
      </rPr>
      <t xml:space="preserve">          </t>
    </r>
    <r>
      <rPr>
        <b/>
        <sz val="13"/>
        <rFont val="華康中黑體"/>
        <family val="3"/>
      </rPr>
      <t>計</t>
    </r>
  </si>
  <si>
    <t>1 3 4   固定資產建設改良擴充綜計表(續)</t>
  </si>
  <si>
    <r>
      <t xml:space="preserve">   </t>
    </r>
    <r>
      <rPr>
        <b/>
        <sz val="13"/>
        <rFont val="細明體"/>
        <family val="3"/>
      </rPr>
      <t>中</t>
    </r>
    <r>
      <rPr>
        <b/>
        <sz val="13"/>
        <rFont val="Times New Roman"/>
        <family val="1"/>
      </rPr>
      <t xml:space="preserve">  </t>
    </r>
    <r>
      <rPr>
        <b/>
        <sz val="13"/>
        <rFont val="細明體"/>
        <family val="3"/>
      </rPr>
      <t>央</t>
    </r>
    <r>
      <rPr>
        <b/>
        <sz val="13"/>
        <rFont val="Times New Roman"/>
        <family val="1"/>
      </rPr>
      <t xml:space="preserve">  </t>
    </r>
    <r>
      <rPr>
        <b/>
        <sz val="13"/>
        <rFont val="細明體"/>
        <family val="3"/>
      </rPr>
      <t>銀</t>
    </r>
    <r>
      <rPr>
        <b/>
        <sz val="13"/>
        <rFont val="Times New Roman"/>
        <family val="1"/>
      </rPr>
      <t xml:space="preserve">  </t>
    </r>
    <r>
      <rPr>
        <b/>
        <sz val="13"/>
        <rFont val="細明體"/>
        <family val="3"/>
      </rPr>
      <t>行</t>
    </r>
  </si>
  <si>
    <r>
      <t>經</t>
    </r>
    <r>
      <rPr>
        <b/>
        <sz val="13"/>
        <rFont val="Times New Roman"/>
        <family val="1"/>
      </rPr>
      <t xml:space="preserve"> </t>
    </r>
    <r>
      <rPr>
        <b/>
        <sz val="13"/>
        <rFont val="華康中黑體"/>
        <family val="3"/>
      </rPr>
      <t>濟</t>
    </r>
    <r>
      <rPr>
        <b/>
        <sz val="13"/>
        <rFont val="Times New Roman"/>
        <family val="1"/>
      </rPr>
      <t xml:space="preserve"> </t>
    </r>
    <r>
      <rPr>
        <b/>
        <sz val="13"/>
        <rFont val="華康中黑體"/>
        <family val="3"/>
      </rPr>
      <t>部</t>
    </r>
    <r>
      <rPr>
        <b/>
        <sz val="13"/>
        <rFont val="Times New Roman"/>
        <family val="1"/>
      </rPr>
      <t xml:space="preserve"> </t>
    </r>
    <r>
      <rPr>
        <b/>
        <sz val="13"/>
        <rFont val="華康中黑體"/>
        <family val="3"/>
      </rPr>
      <t>主</t>
    </r>
    <r>
      <rPr>
        <b/>
        <sz val="13"/>
        <rFont val="Times New Roman"/>
        <family val="1"/>
      </rPr>
      <t xml:space="preserve"> </t>
    </r>
    <r>
      <rPr>
        <b/>
        <sz val="13"/>
        <rFont val="華康中黑體"/>
        <family val="3"/>
      </rPr>
      <t>管</t>
    </r>
  </si>
  <si>
    <r>
      <t xml:space="preserve">   </t>
    </r>
    <r>
      <rPr>
        <b/>
        <sz val="13"/>
        <rFont val="細明體"/>
        <family val="3"/>
      </rPr>
      <t>中國造船股份</t>
    </r>
  </si>
  <si>
    <r>
      <t xml:space="preserve">   </t>
    </r>
    <r>
      <rPr>
        <b/>
        <sz val="13"/>
        <rFont val="細明體"/>
        <family val="3"/>
      </rPr>
      <t>有限公司</t>
    </r>
  </si>
  <si>
    <r>
      <t xml:space="preserve">   </t>
    </r>
    <r>
      <rPr>
        <b/>
        <sz val="13"/>
        <rFont val="細明體"/>
        <family val="3"/>
      </rPr>
      <t>臺鹽實業股份</t>
    </r>
  </si>
  <si>
    <r>
      <t xml:space="preserve">   </t>
    </r>
    <r>
      <rPr>
        <b/>
        <sz val="13"/>
        <rFont val="細明體"/>
        <family val="3"/>
      </rPr>
      <t>臺灣糖業股份</t>
    </r>
  </si>
  <si>
    <r>
      <t xml:space="preserve">   </t>
    </r>
    <r>
      <rPr>
        <b/>
        <sz val="13"/>
        <rFont val="細明體"/>
        <family val="3"/>
      </rPr>
      <t>中國石油股份</t>
    </r>
  </si>
  <si>
    <r>
      <t xml:space="preserve">   </t>
    </r>
    <r>
      <rPr>
        <b/>
        <sz val="13"/>
        <rFont val="細明體"/>
        <family val="3"/>
      </rPr>
      <t>臺灣電力股份</t>
    </r>
  </si>
  <si>
    <r>
      <t xml:space="preserve">   </t>
    </r>
    <r>
      <rPr>
        <b/>
        <sz val="13"/>
        <rFont val="細明體"/>
        <family val="3"/>
      </rPr>
      <t>漢翔航空工業</t>
    </r>
  </si>
  <si>
    <r>
      <t xml:space="preserve">   </t>
    </r>
    <r>
      <rPr>
        <b/>
        <sz val="13"/>
        <rFont val="細明體"/>
        <family val="3"/>
      </rPr>
      <t>股份有限公司</t>
    </r>
  </si>
  <si>
    <r>
      <t xml:space="preserve">   </t>
    </r>
    <r>
      <rPr>
        <b/>
        <sz val="13"/>
        <rFont val="細明體"/>
        <family val="3"/>
      </rPr>
      <t>高雄硫酸錏股</t>
    </r>
  </si>
  <si>
    <r>
      <t xml:space="preserve">   </t>
    </r>
    <r>
      <rPr>
        <b/>
        <sz val="13"/>
        <rFont val="細明體"/>
        <family val="3"/>
      </rPr>
      <t>份有限公司</t>
    </r>
  </si>
  <si>
    <r>
      <t xml:space="preserve">   </t>
    </r>
    <r>
      <rPr>
        <b/>
        <sz val="13"/>
        <rFont val="細明體"/>
        <family val="3"/>
      </rPr>
      <t>台灣省農工企業</t>
    </r>
  </si>
  <si>
    <r>
      <t xml:space="preserve">   </t>
    </r>
    <r>
      <rPr>
        <b/>
        <sz val="13"/>
        <rFont val="細明體"/>
        <family val="3"/>
      </rPr>
      <t>唐榮鐵工廠股</t>
    </r>
  </si>
  <si>
    <r>
      <t xml:space="preserve">   </t>
    </r>
    <r>
      <rPr>
        <b/>
        <sz val="13"/>
        <rFont val="細明體"/>
        <family val="3"/>
      </rPr>
      <t>臺灣省自來水</t>
    </r>
  </si>
  <si>
    <r>
      <t xml:space="preserve">   </t>
    </r>
    <r>
      <rPr>
        <b/>
        <sz val="13"/>
        <rFont val="細明體"/>
        <family val="3"/>
      </rPr>
      <t>中</t>
    </r>
    <r>
      <rPr>
        <b/>
        <sz val="13"/>
        <rFont val="Times New Roman"/>
        <family val="1"/>
      </rPr>
      <t xml:space="preserve"> </t>
    </r>
    <r>
      <rPr>
        <b/>
        <sz val="13"/>
        <rFont val="細明體"/>
        <family val="3"/>
      </rPr>
      <t>央</t>
    </r>
    <r>
      <rPr>
        <b/>
        <sz val="13"/>
        <rFont val="Times New Roman"/>
        <family val="1"/>
      </rPr>
      <t xml:space="preserve"> </t>
    </r>
    <r>
      <rPr>
        <b/>
        <sz val="13"/>
        <rFont val="細明體"/>
        <family val="3"/>
      </rPr>
      <t>信</t>
    </r>
    <r>
      <rPr>
        <b/>
        <sz val="13"/>
        <rFont val="Times New Roman"/>
        <family val="1"/>
      </rPr>
      <t xml:space="preserve"> </t>
    </r>
    <r>
      <rPr>
        <b/>
        <sz val="13"/>
        <rFont val="細明體"/>
        <family val="3"/>
      </rPr>
      <t>託</t>
    </r>
    <r>
      <rPr>
        <b/>
        <sz val="13"/>
        <rFont val="Times New Roman"/>
        <family val="1"/>
      </rPr>
      <t xml:space="preserve"> </t>
    </r>
    <r>
      <rPr>
        <b/>
        <sz val="13"/>
        <rFont val="細明體"/>
        <family val="3"/>
      </rPr>
      <t>局</t>
    </r>
  </si>
  <si>
    <r>
      <t xml:space="preserve">   </t>
    </r>
    <r>
      <rPr>
        <b/>
        <sz val="13"/>
        <rFont val="細明體"/>
        <family val="3"/>
      </rPr>
      <t>中央存款保險</t>
    </r>
  </si>
  <si>
    <r>
      <t xml:space="preserve">   </t>
    </r>
    <r>
      <rPr>
        <b/>
        <sz val="13"/>
        <rFont val="細明體"/>
        <family val="3"/>
      </rPr>
      <t>臺灣銀行</t>
    </r>
  </si>
  <si>
    <r>
      <t xml:space="preserve">   </t>
    </r>
    <r>
      <rPr>
        <b/>
        <sz val="13"/>
        <rFont val="細明體"/>
        <family val="3"/>
      </rPr>
      <t>財政部印刷廠</t>
    </r>
  </si>
  <si>
    <r>
      <t xml:space="preserve">   </t>
    </r>
    <r>
      <rPr>
        <b/>
        <sz val="13"/>
        <rFont val="細明體"/>
        <family val="3"/>
      </rPr>
      <t>台灣菸酒股</t>
    </r>
  </si>
  <si>
    <r>
      <t xml:space="preserve">   </t>
    </r>
    <r>
      <rPr>
        <b/>
        <sz val="12"/>
        <rFont val="細明體"/>
        <family val="3"/>
      </rPr>
      <t>臺儒文化事業股份有限公司（臺灣書店）</t>
    </r>
  </si>
  <si>
    <r>
      <t xml:space="preserve">   </t>
    </r>
    <r>
      <rPr>
        <b/>
        <sz val="13"/>
        <rFont val="細明體"/>
        <family val="3"/>
      </rPr>
      <t>交通部郵政總局</t>
    </r>
  </si>
  <si>
    <r>
      <t xml:space="preserve">   </t>
    </r>
    <r>
      <rPr>
        <b/>
        <sz val="13"/>
        <rFont val="細明體"/>
        <family val="3"/>
      </rPr>
      <t>中華電信股份</t>
    </r>
  </si>
  <si>
    <r>
      <t xml:space="preserve">   </t>
    </r>
    <r>
      <rPr>
        <b/>
        <sz val="13"/>
        <rFont val="細明體"/>
        <family val="3"/>
      </rPr>
      <t>港務局</t>
    </r>
  </si>
  <si>
    <r>
      <t xml:space="preserve">   </t>
    </r>
    <r>
      <rPr>
        <b/>
        <sz val="13"/>
        <rFont val="細明體"/>
        <family val="3"/>
      </rPr>
      <t>交通部基隆</t>
    </r>
  </si>
  <si>
    <r>
      <t xml:space="preserve">   </t>
    </r>
    <r>
      <rPr>
        <b/>
        <sz val="13"/>
        <rFont val="細明體"/>
        <family val="3"/>
      </rPr>
      <t>交通部台中</t>
    </r>
  </si>
  <si>
    <r>
      <t xml:space="preserve">   </t>
    </r>
    <r>
      <rPr>
        <b/>
        <sz val="13"/>
        <rFont val="細明體"/>
        <family val="3"/>
      </rPr>
      <t>交通部高雄</t>
    </r>
  </si>
  <si>
    <r>
      <t xml:space="preserve">   </t>
    </r>
    <r>
      <rPr>
        <b/>
        <sz val="13"/>
        <rFont val="細明體"/>
        <family val="3"/>
      </rPr>
      <t>交通部花蓮</t>
    </r>
  </si>
  <si>
    <r>
      <t xml:space="preserve">   </t>
    </r>
    <r>
      <rPr>
        <b/>
        <sz val="13"/>
        <rFont val="細明體"/>
        <family val="3"/>
      </rPr>
      <t>榮民工程股</t>
    </r>
  </si>
  <si>
    <r>
      <t xml:space="preserve">   </t>
    </r>
    <r>
      <rPr>
        <b/>
        <sz val="13"/>
        <rFont val="細明體"/>
        <family val="3"/>
      </rPr>
      <t>份有限公司</t>
    </r>
  </si>
  <si>
    <r>
      <t xml:space="preserve">   </t>
    </r>
    <r>
      <rPr>
        <b/>
        <sz val="13"/>
        <rFont val="細明體"/>
        <family val="3"/>
      </rPr>
      <t>勞工保險局</t>
    </r>
  </si>
  <si>
    <r>
      <t xml:space="preserve">   </t>
    </r>
    <r>
      <rPr>
        <b/>
        <sz val="13"/>
        <rFont val="細明體"/>
        <family val="3"/>
      </rPr>
      <t>中央健康保險局</t>
    </r>
  </si>
  <si>
    <r>
      <t xml:space="preserve">   </t>
    </r>
    <r>
      <rPr>
        <b/>
        <sz val="13"/>
        <rFont val="細明體"/>
        <family val="3"/>
      </rPr>
      <t>交通部臺灣</t>
    </r>
  </si>
  <si>
    <r>
      <t xml:space="preserve">   </t>
    </r>
    <r>
      <rPr>
        <b/>
        <sz val="13"/>
        <rFont val="細明體"/>
        <family val="3"/>
      </rPr>
      <t>鐵路管理局</t>
    </r>
  </si>
  <si>
    <r>
      <t xml:space="preserve">   </t>
    </r>
    <r>
      <rPr>
        <b/>
        <sz val="13"/>
        <rFont val="細明體"/>
        <family val="3"/>
      </rPr>
      <t>中國輸出入銀行</t>
    </r>
  </si>
  <si>
    <r>
      <t xml:space="preserve">   </t>
    </r>
    <r>
      <rPr>
        <b/>
        <sz val="13"/>
        <rFont val="細明體"/>
        <family val="3"/>
      </rPr>
      <t>臺灣土地銀行</t>
    </r>
  </si>
  <si>
    <r>
      <t xml:space="preserve">   </t>
    </r>
    <r>
      <rPr>
        <b/>
        <sz val="13"/>
        <rFont val="細明體"/>
        <family val="3"/>
      </rPr>
      <t>合作金庫銀行</t>
    </r>
  </si>
  <si>
    <r>
      <t xml:space="preserve">   </t>
    </r>
    <r>
      <rPr>
        <b/>
        <sz val="13"/>
        <rFont val="細明體"/>
        <family val="3"/>
      </rPr>
      <t>股份有限公司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</si>
</sst>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0_);\(#,##0.000\)"/>
    <numFmt numFmtId="185" formatCode="#,##0.00_ "/>
    <numFmt numFmtId="186" formatCode="0.00_);[Red]\(0.00\)"/>
  </numFmts>
  <fonts count="22">
    <font>
      <sz val="12"/>
      <name val="Courier"/>
      <family val="3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sz val="20"/>
      <name val="華康特粗明體"/>
      <family val="3"/>
    </font>
    <font>
      <sz val="12"/>
      <name val="華康中黑體"/>
      <family val="3"/>
    </font>
    <font>
      <sz val="22"/>
      <name val="華康特粗明體"/>
      <family val="1"/>
    </font>
    <font>
      <b/>
      <sz val="24"/>
      <name val="華康特粗明體"/>
      <family val="1"/>
    </font>
    <font>
      <b/>
      <sz val="12"/>
      <name val="華康中黑體"/>
      <family val="3"/>
    </font>
    <font>
      <sz val="9"/>
      <name val="新細明體"/>
      <family val="1"/>
    </font>
    <font>
      <b/>
      <sz val="12"/>
      <name val="細明體"/>
      <family val="3"/>
    </font>
    <font>
      <b/>
      <sz val="12"/>
      <name val="Courier"/>
      <family val="3"/>
    </font>
    <font>
      <sz val="13"/>
      <name val="細明體"/>
      <family val="3"/>
    </font>
    <font>
      <b/>
      <sz val="13"/>
      <name val="華康中黑體"/>
      <family val="3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新細明體"/>
      <family val="1"/>
    </font>
    <font>
      <b/>
      <sz val="13"/>
      <name val="細明體"/>
      <family val="3"/>
    </font>
    <font>
      <b/>
      <sz val="14"/>
      <name val="Times New Roman"/>
      <family val="1"/>
    </font>
    <font>
      <b/>
      <sz val="28"/>
      <name val="華康特粗明體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</cellStyleXfs>
  <cellXfs count="118">
    <xf numFmtId="39" fontId="0" fillId="0" borderId="0" xfId="0" applyAlignment="1">
      <alignment/>
    </xf>
    <xf numFmtId="39" fontId="0" fillId="0" borderId="0" xfId="0" applyAlignment="1" applyProtection="1">
      <alignment horizontal="left"/>
      <protection/>
    </xf>
    <xf numFmtId="39" fontId="0" fillId="0" borderId="0" xfId="0" applyNumberFormat="1" applyAlignment="1" applyProtection="1">
      <alignment/>
      <protection/>
    </xf>
    <xf numFmtId="39" fontId="5" fillId="0" borderId="0" xfId="0" applyFont="1" applyAlignment="1">
      <alignment/>
    </xf>
    <xf numFmtId="39" fontId="5" fillId="0" borderId="0" xfId="0" applyFont="1" applyAlignment="1" applyProtection="1">
      <alignment horizontal="left"/>
      <protection/>
    </xf>
    <xf numFmtId="39" fontId="5" fillId="0" borderId="1" xfId="0" applyFont="1" applyBorder="1" applyAlignment="1">
      <alignment/>
    </xf>
    <xf numFmtId="39" fontId="0" fillId="0" borderId="0" xfId="0" applyBorder="1" applyAlignment="1">
      <alignment/>
    </xf>
    <xf numFmtId="4" fontId="1" fillId="0" borderId="0" xfId="16" applyNumberFormat="1" applyFont="1" applyAlignment="1" applyProtection="1">
      <alignment/>
      <protection/>
    </xf>
    <xf numFmtId="39" fontId="7" fillId="0" borderId="0" xfId="0" applyFont="1" applyAlignment="1" applyProtection="1">
      <alignment horizontal="left"/>
      <protection/>
    </xf>
    <xf numFmtId="39" fontId="1" fillId="0" borderId="0" xfId="0" applyFont="1" applyAlignment="1">
      <alignment/>
    </xf>
    <xf numFmtId="39" fontId="6" fillId="0" borderId="0" xfId="0" applyFont="1" applyAlignment="1">
      <alignment horizontal="centerContinuous"/>
    </xf>
    <xf numFmtId="39" fontId="5" fillId="0" borderId="0" xfId="0" applyFont="1" applyAlignment="1">
      <alignment horizontal="centerContinuous"/>
    </xf>
    <xf numFmtId="39" fontId="5" fillId="0" borderId="0" xfId="0" applyFont="1" applyAlignment="1" quotePrefix="1">
      <alignment horizontal="centerContinuous"/>
    </xf>
    <xf numFmtId="39" fontId="5" fillId="0" borderId="2" xfId="0" applyFont="1" applyBorder="1" applyAlignment="1">
      <alignment horizontal="centerContinuous"/>
    </xf>
    <xf numFmtId="39" fontId="5" fillId="0" borderId="3" xfId="0" applyFont="1" applyBorder="1" applyAlignment="1" applyProtection="1">
      <alignment horizontal="centerContinuous" vertical="center"/>
      <protection/>
    </xf>
    <xf numFmtId="39" fontId="5" fillId="0" borderId="0" xfId="0" applyFont="1" applyAlignment="1" applyProtection="1" quotePrefix="1">
      <alignment horizontal="left" vertical="top"/>
      <protection/>
    </xf>
    <xf numFmtId="39" fontId="5" fillId="0" borderId="4" xfId="0" applyFont="1" applyBorder="1" applyAlignment="1" applyProtection="1">
      <alignment horizontal="center" vertical="center"/>
      <protection/>
    </xf>
    <xf numFmtId="39" fontId="5" fillId="0" borderId="5" xfId="0" applyFont="1" applyBorder="1" applyAlignment="1" applyProtection="1" quotePrefix="1">
      <alignment horizontal="center" vertical="center"/>
      <protection/>
    </xf>
    <xf numFmtId="39" fontId="5" fillId="0" borderId="6" xfId="0" applyFont="1" applyBorder="1" applyAlignment="1" applyProtection="1" quotePrefix="1">
      <alignment vertical="center"/>
      <protection/>
    </xf>
    <xf numFmtId="39" fontId="8" fillId="0" borderId="0" xfId="0" applyFont="1" applyAlignment="1" applyProtection="1" quotePrefix="1">
      <alignment horizontal="centerContinuous"/>
      <protection/>
    </xf>
    <xf numFmtId="39" fontId="7" fillId="0" borderId="7" xfId="0" applyFont="1" applyBorder="1" applyAlignment="1" applyProtection="1">
      <alignment horizontal="center" vertical="center"/>
      <protection/>
    </xf>
    <xf numFmtId="39" fontId="7" fillId="0" borderId="7" xfId="0" applyFont="1" applyBorder="1" applyAlignment="1" applyProtection="1" quotePrefix="1">
      <alignment horizontal="center" vertical="center"/>
      <protection/>
    </xf>
    <xf numFmtId="39" fontId="7" fillId="0" borderId="7" xfId="0" applyFont="1" applyBorder="1" applyAlignment="1" quotePrefix="1">
      <alignment horizontal="left" vertical="center"/>
    </xf>
    <xf numFmtId="39" fontId="7" fillId="0" borderId="7" xfId="0" applyNumberFormat="1" applyFont="1" applyBorder="1" applyAlignment="1" applyProtection="1">
      <alignment horizontal="center" vertical="center"/>
      <protection/>
    </xf>
    <xf numFmtId="39" fontId="5" fillId="0" borderId="7" xfId="0" applyFont="1" applyBorder="1" applyAlignment="1">
      <alignment horizontal="center" vertical="center"/>
    </xf>
    <xf numFmtId="39" fontId="7" fillId="0" borderId="7" xfId="0" applyFont="1" applyBorder="1" applyAlignment="1">
      <alignment/>
    </xf>
    <xf numFmtId="39" fontId="1" fillId="0" borderId="7" xfId="0" applyFont="1" applyBorder="1" applyAlignment="1" applyProtection="1">
      <alignment/>
      <protection/>
    </xf>
    <xf numFmtId="39" fontId="1" fillId="0" borderId="7" xfId="0" applyFont="1" applyBorder="1" applyAlignment="1">
      <alignment/>
    </xf>
    <xf numFmtId="39" fontId="7" fillId="0" borderId="7" xfId="0" applyNumberFormat="1" applyFont="1" applyBorder="1" applyAlignment="1" applyProtection="1" quotePrefix="1">
      <alignment horizontal="center" vertical="center"/>
      <protection/>
    </xf>
    <xf numFmtId="39" fontId="0" fillId="0" borderId="0" xfId="0" applyFont="1" applyAlignment="1">
      <alignment/>
    </xf>
    <xf numFmtId="39" fontId="0" fillId="0" borderId="0" xfId="0" applyFont="1" applyBorder="1" applyAlignment="1">
      <alignment/>
    </xf>
    <xf numFmtId="39" fontId="0" fillId="0" borderId="1" xfId="0" applyBorder="1" applyAlignment="1">
      <alignment/>
    </xf>
    <xf numFmtId="4" fontId="4" fillId="0" borderId="0" xfId="16" applyNumberFormat="1" applyFont="1" applyAlignment="1" applyProtection="1">
      <alignment/>
      <protection/>
    </xf>
    <xf numFmtId="39" fontId="4" fillId="0" borderId="0" xfId="0" applyFont="1" applyAlignment="1">
      <alignment/>
    </xf>
    <xf numFmtId="39" fontId="4" fillId="0" borderId="0" xfId="0" applyNumberFormat="1" applyFont="1" applyAlignment="1" applyProtection="1">
      <alignment/>
      <protection/>
    </xf>
    <xf numFmtId="39" fontId="4" fillId="0" borderId="0" xfId="0" applyFont="1" applyAlignment="1" applyProtection="1">
      <alignment/>
      <protection/>
    </xf>
    <xf numFmtId="39" fontId="4" fillId="0" borderId="1" xfId="0" applyFont="1" applyBorder="1" applyAlignment="1">
      <alignment/>
    </xf>
    <xf numFmtId="39" fontId="4" fillId="0" borderId="0" xfId="0" applyFont="1" applyBorder="1" applyAlignment="1">
      <alignment/>
    </xf>
    <xf numFmtId="4" fontId="1" fillId="0" borderId="0" xfId="16" applyNumberFormat="1" applyFont="1" applyBorder="1" applyAlignment="1" applyProtection="1">
      <alignment/>
      <protection/>
    </xf>
    <xf numFmtId="39" fontId="5" fillId="0" borderId="8" xfId="0" applyFont="1" applyBorder="1" applyAlignment="1" applyProtection="1">
      <alignment horizontal="center" vertical="center" wrapText="1"/>
      <protection/>
    </xf>
    <xf numFmtId="39" fontId="10" fillId="0" borderId="7" xfId="0" applyFont="1" applyBorder="1" applyAlignment="1" quotePrefix="1">
      <alignment horizontal="center" vertical="center"/>
    </xf>
    <xf numFmtId="39" fontId="10" fillId="0" borderId="0" xfId="0" applyFont="1" applyAlignment="1" applyProtection="1">
      <alignment horizontal="distributed"/>
      <protection/>
    </xf>
    <xf numFmtId="39" fontId="12" fillId="0" borderId="0" xfId="0" applyFont="1" applyAlignment="1">
      <alignment horizontal="distributed"/>
    </xf>
    <xf numFmtId="39" fontId="10" fillId="0" borderId="0" xfId="0" applyFont="1" applyAlignment="1">
      <alignment/>
    </xf>
    <xf numFmtId="39" fontId="1" fillId="0" borderId="0" xfId="0" applyFont="1" applyBorder="1" applyAlignment="1">
      <alignment/>
    </xf>
    <xf numFmtId="185" fontId="4" fillId="0" borderId="0" xfId="0" applyNumberFormat="1" applyFont="1" applyAlignment="1" applyProtection="1">
      <alignment/>
      <protection/>
    </xf>
    <xf numFmtId="39" fontId="0" fillId="0" borderId="0" xfId="0" applyFill="1" applyAlignment="1">
      <alignment/>
    </xf>
    <xf numFmtId="39" fontId="4" fillId="0" borderId="0" xfId="0" applyFont="1" applyFill="1" applyAlignment="1">
      <alignment/>
    </xf>
    <xf numFmtId="39" fontId="4" fillId="0" borderId="0" xfId="0" applyFont="1" applyBorder="1" applyAlignment="1">
      <alignment/>
    </xf>
    <xf numFmtId="39" fontId="0" fillId="0" borderId="0" xfId="0" applyBorder="1" applyAlignment="1">
      <alignment/>
    </xf>
    <xf numFmtId="39" fontId="4" fillId="0" borderId="0" xfId="0" applyFont="1" applyAlignment="1">
      <alignment/>
    </xf>
    <xf numFmtId="39" fontId="0" fillId="0" borderId="0" xfId="0" applyAlignment="1">
      <alignment/>
    </xf>
    <xf numFmtId="39" fontId="5" fillId="0" borderId="1" xfId="0" applyFont="1" applyBorder="1" applyAlignment="1" applyProtection="1" quotePrefix="1">
      <alignment horizontal="right" vertical="center"/>
      <protection/>
    </xf>
    <xf numFmtId="39" fontId="14" fillId="0" borderId="0" xfId="0" applyFont="1" applyAlignment="1">
      <alignment/>
    </xf>
    <xf numFmtId="39" fontId="1" fillId="0" borderId="0" xfId="0" applyFont="1" applyAlignment="1" applyProtection="1" quotePrefix="1">
      <alignment horizontal="left" vertical="center"/>
      <protection/>
    </xf>
    <xf numFmtId="39" fontId="14" fillId="0" borderId="0" xfId="0" applyFont="1" applyBorder="1" applyAlignment="1">
      <alignment/>
    </xf>
    <xf numFmtId="39" fontId="15" fillId="0" borderId="0" xfId="0" applyFont="1" applyAlignment="1" applyProtection="1">
      <alignment horizontal="left"/>
      <protection/>
    </xf>
    <xf numFmtId="39" fontId="17" fillId="0" borderId="0" xfId="0" applyFont="1" applyAlignment="1" applyProtection="1">
      <alignment horizontal="left"/>
      <protection/>
    </xf>
    <xf numFmtId="4" fontId="16" fillId="0" borderId="0" xfId="16" applyNumberFormat="1" applyFont="1" applyAlignment="1" applyProtection="1">
      <alignment/>
      <protection/>
    </xf>
    <xf numFmtId="39" fontId="17" fillId="0" borderId="0" xfId="0" applyFont="1" applyAlignment="1">
      <alignment/>
    </xf>
    <xf numFmtId="4" fontId="17" fillId="0" borderId="0" xfId="16" applyNumberFormat="1" applyFont="1" applyAlignment="1">
      <alignment/>
    </xf>
    <xf numFmtId="4" fontId="17" fillId="0" borderId="0" xfId="16" applyNumberFormat="1" applyFont="1" applyAlignment="1" applyProtection="1">
      <alignment/>
      <protection/>
    </xf>
    <xf numFmtId="39" fontId="14" fillId="0" borderId="0" xfId="0" applyFont="1" applyAlignment="1" applyProtection="1">
      <alignment horizontal="distributed"/>
      <protection/>
    </xf>
    <xf numFmtId="39" fontId="17" fillId="0" borderId="0" xfId="0" applyFont="1" applyFill="1" applyAlignment="1">
      <alignment/>
    </xf>
    <xf numFmtId="39" fontId="1" fillId="0" borderId="0" xfId="0" applyFont="1" applyAlignment="1" applyProtection="1">
      <alignment horizontal="left"/>
      <protection/>
    </xf>
    <xf numFmtId="39" fontId="14" fillId="0" borderId="0" xfId="0" applyFont="1" applyFill="1" applyAlignment="1" applyProtection="1">
      <alignment horizontal="distributed"/>
      <protection/>
    </xf>
    <xf numFmtId="4" fontId="17" fillId="0" borderId="0" xfId="16" applyNumberFormat="1" applyFont="1" applyFill="1" applyAlignment="1" applyProtection="1">
      <alignment/>
      <protection/>
    </xf>
    <xf numFmtId="39" fontId="17" fillId="0" borderId="0" xfId="0" applyFont="1" applyAlignment="1">
      <alignment horizontal="left"/>
    </xf>
    <xf numFmtId="39" fontId="18" fillId="0" borderId="0" xfId="0" applyFont="1" applyAlignment="1" applyProtection="1">
      <alignment horizontal="distributed"/>
      <protection/>
    </xf>
    <xf numFmtId="39" fontId="17" fillId="0" borderId="0" xfId="0" applyFont="1" applyBorder="1" applyAlignment="1">
      <alignment/>
    </xf>
    <xf numFmtId="39" fontId="17" fillId="0" borderId="0" xfId="0" applyFont="1" applyBorder="1" applyAlignment="1">
      <alignment horizontal="left"/>
    </xf>
    <xf numFmtId="4" fontId="17" fillId="0" borderId="0" xfId="16" applyNumberFormat="1" applyFont="1" applyBorder="1" applyAlignment="1">
      <alignment/>
    </xf>
    <xf numFmtId="39" fontId="14" fillId="0" borderId="0" xfId="0" applyFont="1" applyBorder="1" applyAlignment="1" applyProtection="1">
      <alignment horizontal="distributed"/>
      <protection/>
    </xf>
    <xf numFmtId="4" fontId="17" fillId="0" borderId="0" xfId="16" applyNumberFormat="1" applyFont="1" applyBorder="1" applyAlignment="1" applyProtection="1">
      <alignment/>
      <protection/>
    </xf>
    <xf numFmtId="39" fontId="17" fillId="0" borderId="0" xfId="0" applyFont="1" applyBorder="1" applyAlignment="1" applyProtection="1" quotePrefix="1">
      <alignment horizontal="left"/>
      <protection/>
    </xf>
    <xf numFmtId="39" fontId="16" fillId="0" borderId="0" xfId="0" applyFont="1" applyBorder="1" applyAlignment="1" applyProtection="1">
      <alignment horizontal="left"/>
      <protection/>
    </xf>
    <xf numFmtId="39" fontId="17" fillId="0" borderId="0" xfId="0" applyFont="1" applyAlignment="1">
      <alignment/>
    </xf>
    <xf numFmtId="4" fontId="17" fillId="0" borderId="0" xfId="16" applyNumberFormat="1" applyFont="1" applyBorder="1" applyAlignment="1" applyProtection="1">
      <alignment/>
      <protection/>
    </xf>
    <xf numFmtId="4" fontId="17" fillId="0" borderId="0" xfId="16" applyNumberFormat="1" applyFont="1" applyAlignment="1" applyProtection="1">
      <alignment/>
      <protection/>
    </xf>
    <xf numFmtId="39" fontId="17" fillId="0" borderId="0" xfId="0" applyFont="1" applyBorder="1" applyAlignment="1">
      <alignment/>
    </xf>
    <xf numFmtId="39" fontId="16" fillId="0" borderId="1" xfId="0" applyFont="1" applyBorder="1" applyAlignment="1" applyProtection="1">
      <alignment horizontal="left"/>
      <protection/>
    </xf>
    <xf numFmtId="39" fontId="14" fillId="0" borderId="1" xfId="0" applyFont="1" applyBorder="1" applyAlignment="1" applyProtection="1">
      <alignment horizontal="distributed"/>
      <protection/>
    </xf>
    <xf numFmtId="39" fontId="17" fillId="0" borderId="1" xfId="0" applyFont="1" applyBorder="1" applyAlignment="1">
      <alignment/>
    </xf>
    <xf numFmtId="4" fontId="17" fillId="0" borderId="1" xfId="16" applyNumberFormat="1" applyFont="1" applyBorder="1" applyAlignment="1" applyProtection="1">
      <alignment/>
      <protection/>
    </xf>
    <xf numFmtId="39" fontId="15" fillId="0" borderId="0" xfId="0" applyFont="1" applyBorder="1" applyAlignment="1" applyProtection="1">
      <alignment horizontal="left"/>
      <protection/>
    </xf>
    <xf numFmtId="39" fontId="17" fillId="0" borderId="0" xfId="0" applyFont="1" applyBorder="1" applyAlignment="1" applyProtection="1">
      <alignment horizontal="left"/>
      <protection/>
    </xf>
    <xf numFmtId="4" fontId="16" fillId="0" borderId="0" xfId="16" applyNumberFormat="1" applyFont="1" applyBorder="1" applyAlignment="1" applyProtection="1">
      <alignment/>
      <protection/>
    </xf>
    <xf numFmtId="39" fontId="14" fillId="0" borderId="0" xfId="0" applyFont="1" applyAlignment="1" applyProtection="1">
      <alignment horizontal="distributed" wrapText="1"/>
      <protection/>
    </xf>
    <xf numFmtId="39" fontId="14" fillId="0" borderId="0" xfId="0" applyFont="1" applyBorder="1" applyAlignment="1" applyProtection="1">
      <alignment horizontal="distributed" wrapText="1"/>
      <protection/>
    </xf>
    <xf numFmtId="39" fontId="16" fillId="0" borderId="0" xfId="0" applyFont="1" applyAlignment="1" applyProtection="1">
      <alignment horizontal="left"/>
      <protection/>
    </xf>
    <xf numFmtId="39" fontId="16" fillId="0" borderId="0" xfId="0" applyFont="1" applyAlignment="1" applyProtection="1" quotePrefix="1">
      <alignment horizontal="left"/>
      <protection/>
    </xf>
    <xf numFmtId="39" fontId="17" fillId="0" borderId="0" xfId="0" applyFont="1" applyBorder="1" applyAlignment="1" applyProtection="1">
      <alignment/>
      <protection/>
    </xf>
    <xf numFmtId="39" fontId="15" fillId="0" borderId="0" xfId="0" applyFont="1" applyAlignment="1" applyProtection="1" quotePrefix="1">
      <alignment horizontal="left"/>
      <protection/>
    </xf>
    <xf numFmtId="4" fontId="17" fillId="0" borderId="1" xfId="16" applyNumberFormat="1" applyFont="1" applyBorder="1" applyAlignment="1" applyProtection="1">
      <alignment horizontal="left"/>
      <protection/>
    </xf>
    <xf numFmtId="39" fontId="13" fillId="0" borderId="0" xfId="0" applyFont="1" applyAlignment="1">
      <alignment/>
    </xf>
    <xf numFmtId="39" fontId="16" fillId="0" borderId="0" xfId="0" applyFont="1" applyAlignment="1">
      <alignment horizontal="distributed"/>
    </xf>
    <xf numFmtId="39" fontId="16" fillId="0" borderId="0" xfId="0" applyFont="1" applyAlignment="1">
      <alignment horizontal="left"/>
    </xf>
    <xf numFmtId="39" fontId="16" fillId="0" borderId="0" xfId="0" applyFont="1" applyAlignment="1">
      <alignment/>
    </xf>
    <xf numFmtId="39" fontId="13" fillId="0" borderId="0" xfId="0" applyFont="1" applyBorder="1" applyAlignment="1">
      <alignment/>
    </xf>
    <xf numFmtId="39" fontId="16" fillId="0" borderId="0" xfId="0" applyFont="1" applyBorder="1" applyAlignment="1">
      <alignment horizontal="left"/>
    </xf>
    <xf numFmtId="39" fontId="16" fillId="0" borderId="0" xfId="0" applyFont="1" applyBorder="1" applyAlignment="1">
      <alignment/>
    </xf>
    <xf numFmtId="39" fontId="16" fillId="0" borderId="0" xfId="0" applyFont="1" applyAlignment="1" applyProtection="1">
      <alignment/>
      <protection/>
    </xf>
    <xf numFmtId="39" fontId="16" fillId="0" borderId="0" xfId="0" applyFont="1" applyBorder="1" applyAlignment="1" applyProtection="1">
      <alignment horizontal="left" vertical="justify" wrapText="1"/>
      <protection/>
    </xf>
    <xf numFmtId="3" fontId="16" fillId="0" borderId="0" xfId="0" applyNumberFormat="1" applyFont="1" applyAlignment="1" applyProtection="1">
      <alignment horizontal="left"/>
      <protection/>
    </xf>
    <xf numFmtId="3" fontId="16" fillId="0" borderId="0" xfId="0" applyNumberFormat="1" applyFont="1" applyBorder="1" applyAlignment="1" applyProtection="1">
      <alignment horizontal="left"/>
      <protection/>
    </xf>
    <xf numFmtId="39" fontId="20" fillId="0" borderId="0" xfId="0" applyFont="1" applyAlignment="1" applyProtection="1">
      <alignment horizontal="left"/>
      <protection/>
    </xf>
    <xf numFmtId="39" fontId="1" fillId="0" borderId="0" xfId="0" applyFont="1" applyAlignment="1">
      <alignment horizontal="left"/>
    </xf>
    <xf numFmtId="39" fontId="21" fillId="0" borderId="0" xfId="0" applyFont="1" applyAlignment="1" applyProtection="1">
      <alignment horizontal="centerContinuous" vertical="center"/>
      <protection/>
    </xf>
    <xf numFmtId="39" fontId="19" fillId="0" borderId="0" xfId="0" applyFont="1" applyAlignment="1" applyProtection="1">
      <alignment horizontal="left"/>
      <protection/>
    </xf>
    <xf numFmtId="39" fontId="16" fillId="0" borderId="0" xfId="0" applyFont="1" applyAlignment="1" applyProtection="1">
      <alignment horizontal="left"/>
      <protection/>
    </xf>
    <xf numFmtId="39" fontId="15" fillId="0" borderId="0" xfId="0" applyFont="1" applyAlignment="1" applyProtection="1">
      <alignment horizontal="left"/>
      <protection/>
    </xf>
    <xf numFmtId="39" fontId="1" fillId="0" borderId="0" xfId="0" applyFont="1" applyAlignment="1" applyProtection="1" quotePrefix="1">
      <alignment horizontal="left" vertical="center"/>
      <protection/>
    </xf>
    <xf numFmtId="39" fontId="5" fillId="0" borderId="9" xfId="0" applyFont="1" applyBorder="1" applyAlignment="1" applyProtection="1" quotePrefix="1">
      <alignment horizontal="center" vertical="center"/>
      <protection/>
    </xf>
    <xf numFmtId="39" fontId="0" fillId="0" borderId="10" xfId="0" applyBorder="1" applyAlignment="1">
      <alignment horizontal="center" vertical="center"/>
    </xf>
    <xf numFmtId="39" fontId="5" fillId="0" borderId="11" xfId="0" applyFont="1" applyBorder="1" applyAlignment="1" applyProtection="1" quotePrefix="1">
      <alignment horizontal="center" vertical="center"/>
      <protection/>
    </xf>
    <xf numFmtId="39" fontId="0" fillId="0" borderId="12" xfId="0" applyBorder="1" applyAlignment="1">
      <alignment horizontal="center" vertical="center"/>
    </xf>
    <xf numFmtId="39" fontId="5" fillId="0" borderId="13" xfId="0" applyFont="1" applyBorder="1" applyAlignment="1" applyProtection="1" quotePrefix="1">
      <alignment horizontal="center" vertical="center"/>
      <protection/>
    </xf>
    <xf numFmtId="39" fontId="0" fillId="0" borderId="14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293"/>
  <sheetViews>
    <sheetView showGridLines="0" showZeros="0" tabSelected="1" view="pageBreakPreview" zoomScale="75" zoomScaleNormal="75" zoomScaleSheetLayoutView="75" workbookViewId="0" topLeftCell="A1">
      <selection activeCell="C8" sqref="C8"/>
    </sheetView>
  </sheetViews>
  <sheetFormatPr defaultColWidth="10.59765625" defaultRowHeight="15"/>
  <cols>
    <col min="1" max="1" width="0.796875" style="0" customWidth="1"/>
    <col min="2" max="2" width="15.09765625" style="0" customWidth="1"/>
    <col min="3" max="3" width="20.796875" style="0" customWidth="1"/>
    <col min="4" max="4" width="19.69921875" style="0" customWidth="1"/>
    <col min="5" max="5" width="17.796875" style="0" customWidth="1"/>
    <col min="6" max="6" width="18.59765625" style="0" customWidth="1"/>
    <col min="7" max="7" width="16.59765625" style="0" customWidth="1"/>
    <col min="8" max="8" width="19.09765625" style="0" customWidth="1"/>
    <col min="9" max="9" width="18" style="0" customWidth="1"/>
    <col min="10" max="10" width="6.796875" style="0" customWidth="1"/>
    <col min="11" max="11" width="15.3984375" style="0" customWidth="1"/>
    <col min="12" max="12" width="6.8984375" style="0" customWidth="1"/>
  </cols>
  <sheetData>
    <row r="1" spans="2:9" ht="27.75" customHeight="1">
      <c r="B1" s="15" t="s">
        <v>0</v>
      </c>
      <c r="C1" s="3"/>
      <c r="D1" s="3"/>
      <c r="E1" s="3"/>
      <c r="F1" s="3"/>
      <c r="G1" s="3"/>
      <c r="H1" s="15" t="s">
        <v>26</v>
      </c>
      <c r="I1" s="8"/>
    </row>
    <row r="2" spans="1:9" ht="36" customHeight="1">
      <c r="A2" s="1" t="s">
        <v>1</v>
      </c>
      <c r="B2" s="107" t="s">
        <v>56</v>
      </c>
      <c r="C2" s="19"/>
      <c r="D2" s="10"/>
      <c r="E2" s="10"/>
      <c r="F2" s="11"/>
      <c r="G2" s="11"/>
      <c r="H2" s="12"/>
      <c r="I2" s="11"/>
    </row>
    <row r="3" spans="1:9" ht="19.5" customHeight="1" thickBot="1">
      <c r="A3" s="1" t="s">
        <v>1</v>
      </c>
      <c r="B3" s="5"/>
      <c r="C3" s="3"/>
      <c r="D3" s="3"/>
      <c r="E3" s="3"/>
      <c r="F3" s="3"/>
      <c r="G3" s="3"/>
      <c r="H3" s="3"/>
      <c r="I3" s="52" t="s">
        <v>2</v>
      </c>
    </row>
    <row r="4" spans="1:9" ht="30" customHeight="1">
      <c r="A4" s="6"/>
      <c r="B4" s="112" t="s">
        <v>3</v>
      </c>
      <c r="C4" s="114" t="s">
        <v>4</v>
      </c>
      <c r="D4" s="114" t="s">
        <v>5</v>
      </c>
      <c r="E4" s="14" t="s">
        <v>24</v>
      </c>
      <c r="F4" s="13"/>
      <c r="G4" s="13"/>
      <c r="H4" s="13"/>
      <c r="I4" s="116" t="s">
        <v>6</v>
      </c>
    </row>
    <row r="5" spans="1:9" ht="36" customHeight="1" thickBot="1">
      <c r="A5" s="6"/>
      <c r="B5" s="113"/>
      <c r="C5" s="115"/>
      <c r="D5" s="115"/>
      <c r="E5" s="16" t="s">
        <v>21</v>
      </c>
      <c r="F5" s="17" t="s">
        <v>8</v>
      </c>
      <c r="G5" s="39" t="s">
        <v>22</v>
      </c>
      <c r="H5" s="18" t="s">
        <v>9</v>
      </c>
      <c r="I5" s="117"/>
    </row>
    <row r="6" spans="2:9" ht="21" customHeight="1">
      <c r="B6" s="53"/>
      <c r="C6" s="53"/>
      <c r="D6" s="55"/>
      <c r="E6" s="53"/>
      <c r="F6" s="53"/>
      <c r="G6" s="53"/>
      <c r="H6" s="53"/>
      <c r="I6" s="53"/>
    </row>
    <row r="7" spans="2:9" ht="21" customHeight="1">
      <c r="B7" s="56" t="s">
        <v>31</v>
      </c>
      <c r="C7" s="57" t="s">
        <v>1</v>
      </c>
      <c r="D7" s="58">
        <f aca="true" t="shared" si="0" ref="D7:I7">D9</f>
        <v>266749662</v>
      </c>
      <c r="E7" s="58">
        <f t="shared" si="0"/>
        <v>0</v>
      </c>
      <c r="F7" s="58">
        <f t="shared" si="0"/>
        <v>270788000</v>
      </c>
      <c r="G7" s="58">
        <f t="shared" si="0"/>
        <v>0</v>
      </c>
      <c r="H7" s="58">
        <f t="shared" si="0"/>
        <v>270788000</v>
      </c>
      <c r="I7" s="58">
        <f t="shared" si="0"/>
        <v>-4038338</v>
      </c>
    </row>
    <row r="8" spans="2:9" ht="21" customHeight="1">
      <c r="B8" s="59"/>
      <c r="C8" s="59"/>
      <c r="D8" s="60"/>
      <c r="E8" s="60"/>
      <c r="F8" s="60"/>
      <c r="G8" s="60"/>
      <c r="H8" s="60"/>
      <c r="I8" s="60"/>
    </row>
    <row r="9" spans="2:10" s="94" customFormat="1" ht="21" customHeight="1">
      <c r="B9" s="89" t="s">
        <v>57</v>
      </c>
      <c r="C9" s="95"/>
      <c r="D9" s="58">
        <f>SUM(D10:D15)</f>
        <v>266749662</v>
      </c>
      <c r="E9" s="58">
        <f>SUM(E10:E15)</f>
        <v>0</v>
      </c>
      <c r="F9" s="58">
        <f>SUM(F10:F15)</f>
        <v>270788000</v>
      </c>
      <c r="G9" s="58">
        <f>SUM(G10:G15)</f>
        <v>0</v>
      </c>
      <c r="H9" s="58">
        <f>E9+F9</f>
        <v>270788000</v>
      </c>
      <c r="I9" s="58">
        <f>SUM(I10:I15)</f>
        <v>-4038338</v>
      </c>
      <c r="J9" s="9"/>
    </row>
    <row r="10" spans="2:10" ht="21" customHeight="1">
      <c r="B10" s="59"/>
      <c r="C10" s="62" t="s">
        <v>32</v>
      </c>
      <c r="D10" s="61">
        <v>0</v>
      </c>
      <c r="E10" s="61">
        <v>0</v>
      </c>
      <c r="F10" s="61">
        <v>5155000</v>
      </c>
      <c r="G10" s="61"/>
      <c r="H10" s="61">
        <f aca="true" t="shared" si="1" ref="H10:H15">SUM(E10:F10)</f>
        <v>5155000</v>
      </c>
      <c r="I10" s="61">
        <f aca="true" t="shared" si="2" ref="I10:I15">D10-H10</f>
        <v>-5155000</v>
      </c>
      <c r="J10" s="33"/>
    </row>
    <row r="11" spans="2:10" ht="21" customHeight="1">
      <c r="B11" s="59"/>
      <c r="C11" s="62" t="s">
        <v>33</v>
      </c>
      <c r="D11" s="61">
        <v>31834049</v>
      </c>
      <c r="E11" s="61">
        <v>0</v>
      </c>
      <c r="F11" s="61">
        <v>31029000</v>
      </c>
      <c r="G11" s="61"/>
      <c r="H11" s="61">
        <f t="shared" si="1"/>
        <v>31029000</v>
      </c>
      <c r="I11" s="61">
        <f t="shared" si="2"/>
        <v>805049</v>
      </c>
      <c r="J11" s="33"/>
    </row>
    <row r="12" spans="2:10" ht="21" customHeight="1">
      <c r="B12" s="59"/>
      <c r="C12" s="62" t="s">
        <v>34</v>
      </c>
      <c r="D12" s="61">
        <v>157196698</v>
      </c>
      <c r="E12" s="61">
        <v>0</v>
      </c>
      <c r="F12" s="61">
        <v>199003000</v>
      </c>
      <c r="G12" s="61"/>
      <c r="H12" s="61">
        <f t="shared" si="1"/>
        <v>199003000</v>
      </c>
      <c r="I12" s="61">
        <f t="shared" si="2"/>
        <v>-41806302</v>
      </c>
      <c r="J12" s="33"/>
    </row>
    <row r="13" spans="2:10" ht="21" customHeight="1">
      <c r="B13" s="59"/>
      <c r="C13" s="62" t="s">
        <v>10</v>
      </c>
      <c r="D13" s="61">
        <v>20701305</v>
      </c>
      <c r="E13" s="61">
        <v>0</v>
      </c>
      <c r="F13" s="61">
        <v>22026000</v>
      </c>
      <c r="G13" s="61"/>
      <c r="H13" s="61">
        <f t="shared" si="1"/>
        <v>22026000</v>
      </c>
      <c r="I13" s="61">
        <f t="shared" si="2"/>
        <v>-1324695</v>
      </c>
      <c r="J13" s="33"/>
    </row>
    <row r="14" spans="2:10" ht="21" customHeight="1">
      <c r="B14" s="59"/>
      <c r="C14" s="62" t="s">
        <v>35</v>
      </c>
      <c r="D14" s="61">
        <v>12731596</v>
      </c>
      <c r="E14" s="61">
        <v>0</v>
      </c>
      <c r="F14" s="61">
        <v>13575000</v>
      </c>
      <c r="G14" s="61"/>
      <c r="H14" s="61">
        <f t="shared" si="1"/>
        <v>13575000</v>
      </c>
      <c r="I14" s="61">
        <f t="shared" si="2"/>
        <v>-843404</v>
      </c>
      <c r="J14" s="33"/>
    </row>
    <row r="15" spans="2:10" s="46" customFormat="1" ht="21" customHeight="1">
      <c r="B15" s="63"/>
      <c r="C15" s="65" t="s">
        <v>36</v>
      </c>
      <c r="D15" s="66">
        <f>9459415+34826599</f>
        <v>44286014</v>
      </c>
      <c r="E15" s="66">
        <v>0</v>
      </c>
      <c r="F15" s="66">
        <v>0</v>
      </c>
      <c r="G15" s="66"/>
      <c r="H15" s="66">
        <f t="shared" si="1"/>
        <v>0</v>
      </c>
      <c r="I15" s="66">
        <f t="shared" si="2"/>
        <v>44286014</v>
      </c>
      <c r="J15" s="47"/>
    </row>
    <row r="16" spans="2:9" ht="21" customHeight="1">
      <c r="B16" s="59"/>
      <c r="C16" s="57"/>
      <c r="D16" s="61"/>
      <c r="E16" s="61"/>
      <c r="F16" s="61"/>
      <c r="G16" s="61"/>
      <c r="H16" s="61"/>
      <c r="I16" s="61"/>
    </row>
    <row r="17" spans="2:10" ht="21" customHeight="1">
      <c r="B17" s="56" t="s">
        <v>58</v>
      </c>
      <c r="C17" s="57" t="s">
        <v>1</v>
      </c>
      <c r="D17" s="58">
        <f aca="true" t="shared" si="3" ref="D17:I17">D19+D29+D36+D43+D51+D60+D68+D75+D81+D89</f>
        <v>152821860321.45</v>
      </c>
      <c r="E17" s="58">
        <f t="shared" si="3"/>
        <v>68465916316.950005</v>
      </c>
      <c r="F17" s="58">
        <f t="shared" si="3"/>
        <v>143988293000</v>
      </c>
      <c r="G17" s="58">
        <f t="shared" si="3"/>
        <v>2228658508</v>
      </c>
      <c r="H17" s="58">
        <f t="shared" si="3"/>
        <v>214682867824.95</v>
      </c>
      <c r="I17" s="58">
        <f t="shared" si="3"/>
        <v>-61861007503.5</v>
      </c>
      <c r="J17" s="33"/>
    </row>
    <row r="18" spans="2:9" ht="21" customHeight="1">
      <c r="B18" s="59"/>
      <c r="C18" s="67"/>
      <c r="D18" s="60"/>
      <c r="E18" s="60"/>
      <c r="F18" s="60"/>
      <c r="G18" s="60"/>
      <c r="H18" s="60"/>
      <c r="I18" s="60"/>
    </row>
    <row r="19" spans="2:10" s="94" customFormat="1" ht="21" customHeight="1">
      <c r="B19" s="89" t="s">
        <v>62</v>
      </c>
      <c r="C19" s="96"/>
      <c r="D19" s="58">
        <f>SUM(D20:D26)</f>
        <v>4146137934.96</v>
      </c>
      <c r="E19" s="58">
        <f>SUM(E20:E26)</f>
        <v>2221639021</v>
      </c>
      <c r="F19" s="58">
        <f>SUM(F20:F26)</f>
        <v>5444168000</v>
      </c>
      <c r="G19" s="58">
        <f>SUM(G20:G26)</f>
        <v>168726000</v>
      </c>
      <c r="H19" s="58">
        <f aca="true" t="shared" si="4" ref="H19:H26">E19+F19+G19</f>
        <v>7834533021</v>
      </c>
      <c r="I19" s="58">
        <f>SUM(I20:I26)</f>
        <v>-3688395086.04</v>
      </c>
      <c r="J19" s="9"/>
    </row>
    <row r="20" spans="2:10" s="29" customFormat="1" ht="21" customHeight="1">
      <c r="B20" s="89" t="s">
        <v>60</v>
      </c>
      <c r="C20" s="62" t="s">
        <v>37</v>
      </c>
      <c r="D20" s="61">
        <v>23852661</v>
      </c>
      <c r="E20" s="61">
        <v>789094550</v>
      </c>
      <c r="F20" s="61">
        <v>243968000</v>
      </c>
      <c r="G20" s="61">
        <v>0</v>
      </c>
      <c r="H20" s="61">
        <f t="shared" si="4"/>
        <v>1033062550</v>
      </c>
      <c r="I20" s="61">
        <f aca="true" t="shared" si="5" ref="I20:I26">D20-H20</f>
        <v>-1009209889</v>
      </c>
      <c r="J20" s="33"/>
    </row>
    <row r="21" spans="2:10" s="29" customFormat="1" ht="21" customHeight="1">
      <c r="B21" s="59"/>
      <c r="C21" s="62" t="s">
        <v>32</v>
      </c>
      <c r="D21" s="61">
        <v>127840031</v>
      </c>
      <c r="E21" s="61">
        <v>76408489</v>
      </c>
      <c r="F21" s="61">
        <v>411771000</v>
      </c>
      <c r="G21" s="61">
        <v>0</v>
      </c>
      <c r="H21" s="61">
        <f t="shared" si="4"/>
        <v>488179489</v>
      </c>
      <c r="I21" s="61">
        <f t="shared" si="5"/>
        <v>-360339458</v>
      </c>
      <c r="J21" s="33"/>
    </row>
    <row r="22" spans="2:10" s="29" customFormat="1" ht="21" customHeight="1">
      <c r="B22" s="59"/>
      <c r="C22" s="68" t="s">
        <v>38</v>
      </c>
      <c r="D22" s="61">
        <v>3226527223</v>
      </c>
      <c r="E22" s="61">
        <v>734249712</v>
      </c>
      <c r="F22" s="61">
        <v>3415020000</v>
      </c>
      <c r="G22" s="61">
        <v>95138000</v>
      </c>
      <c r="H22" s="61">
        <f t="shared" si="4"/>
        <v>4244407712</v>
      </c>
      <c r="I22" s="61">
        <f t="shared" si="5"/>
        <v>-1017880489</v>
      </c>
      <c r="J22" s="33"/>
    </row>
    <row r="23" spans="2:10" s="29" customFormat="1" ht="21" customHeight="1">
      <c r="B23" s="59"/>
      <c r="C23" s="62" t="s">
        <v>34</v>
      </c>
      <c r="D23" s="61">
        <v>435669178.25</v>
      </c>
      <c r="E23" s="61">
        <v>429895581</v>
      </c>
      <c r="F23" s="61">
        <v>926877000</v>
      </c>
      <c r="G23" s="61">
        <v>73588000</v>
      </c>
      <c r="H23" s="61">
        <f t="shared" si="4"/>
        <v>1430360581</v>
      </c>
      <c r="I23" s="61">
        <f t="shared" si="5"/>
        <v>-994691402.75</v>
      </c>
      <c r="J23" s="33"/>
    </row>
    <row r="24" spans="2:10" s="29" customFormat="1" ht="21" customHeight="1">
      <c r="B24" s="59"/>
      <c r="C24" s="62" t="s">
        <v>10</v>
      </c>
      <c r="D24" s="61">
        <v>19677593</v>
      </c>
      <c r="E24" s="61">
        <v>20441000</v>
      </c>
      <c r="F24" s="61">
        <v>55080000</v>
      </c>
      <c r="G24" s="61">
        <v>0</v>
      </c>
      <c r="H24" s="61">
        <f t="shared" si="4"/>
        <v>75521000</v>
      </c>
      <c r="I24" s="61">
        <f t="shared" si="5"/>
        <v>-55843407</v>
      </c>
      <c r="J24" s="33"/>
    </row>
    <row r="25" spans="2:10" s="29" customFormat="1" ht="21" customHeight="1">
      <c r="B25" s="59"/>
      <c r="C25" s="62" t="s">
        <v>35</v>
      </c>
      <c r="D25" s="61">
        <v>302836729.71</v>
      </c>
      <c r="E25" s="61">
        <v>171549689</v>
      </c>
      <c r="F25" s="61">
        <v>378352000</v>
      </c>
      <c r="G25" s="61">
        <v>0</v>
      </c>
      <c r="H25" s="61">
        <f t="shared" si="4"/>
        <v>549901689</v>
      </c>
      <c r="I25" s="61">
        <f t="shared" si="5"/>
        <v>-247064959.29000002</v>
      </c>
      <c r="J25" s="33"/>
    </row>
    <row r="26" spans="2:10" s="29" customFormat="1" ht="21" customHeight="1">
      <c r="B26" s="59"/>
      <c r="C26" s="62" t="s">
        <v>39</v>
      </c>
      <c r="D26" s="61">
        <v>9734519</v>
      </c>
      <c r="E26" s="61">
        <v>0</v>
      </c>
      <c r="F26" s="61">
        <v>13100000</v>
      </c>
      <c r="G26" s="61">
        <v>0</v>
      </c>
      <c r="H26" s="61">
        <f t="shared" si="4"/>
        <v>13100000</v>
      </c>
      <c r="I26" s="61">
        <f t="shared" si="5"/>
        <v>-3365481</v>
      </c>
      <c r="J26" s="33"/>
    </row>
    <row r="27" spans="2:10" s="29" customFormat="1" ht="21" customHeight="1">
      <c r="B27" s="59"/>
      <c r="C27" s="57"/>
      <c r="D27" s="61"/>
      <c r="E27" s="61"/>
      <c r="F27" s="61"/>
      <c r="G27" s="61"/>
      <c r="H27" s="61"/>
      <c r="I27" s="61"/>
      <c r="J27" s="33"/>
    </row>
    <row r="28" spans="2:10" s="29" customFormat="1" ht="21" customHeight="1">
      <c r="B28" s="59"/>
      <c r="C28" s="67"/>
      <c r="D28" s="60"/>
      <c r="E28" s="60"/>
      <c r="F28" s="60"/>
      <c r="G28" s="60"/>
      <c r="H28" s="61">
        <f>E28+F28+G28</f>
        <v>0</v>
      </c>
      <c r="I28" s="60"/>
      <c r="J28" s="33"/>
    </row>
    <row r="29" spans="2:10" s="94" customFormat="1" ht="21" customHeight="1">
      <c r="B29" s="89" t="s">
        <v>61</v>
      </c>
      <c r="C29" s="96"/>
      <c r="D29" s="58">
        <f>SUM(D30:D34)</f>
        <v>195721024.45999998</v>
      </c>
      <c r="E29" s="58">
        <f>SUM(E30:E34)</f>
        <v>110290584</v>
      </c>
      <c r="F29" s="58">
        <f>SUM(F30:F34)</f>
        <v>145490000</v>
      </c>
      <c r="G29" s="58">
        <f>SUM(G30:G35)</f>
        <v>0</v>
      </c>
      <c r="H29" s="58">
        <f>E29+F29+G29</f>
        <v>255780584</v>
      </c>
      <c r="I29" s="58">
        <f>SUM(I30:I34)</f>
        <v>-60059559.54000001</v>
      </c>
      <c r="J29" s="9"/>
    </row>
    <row r="30" spans="2:10" s="29" customFormat="1" ht="21" customHeight="1">
      <c r="B30" s="89" t="s">
        <v>60</v>
      </c>
      <c r="C30" s="62" t="s">
        <v>32</v>
      </c>
      <c r="D30" s="60">
        <v>5495537</v>
      </c>
      <c r="E30" s="60">
        <v>0</v>
      </c>
      <c r="F30" s="61">
        <v>5750000</v>
      </c>
      <c r="G30" s="61">
        <v>0</v>
      </c>
      <c r="H30" s="61">
        <f>E30+F30+G31</f>
        <v>5750000</v>
      </c>
      <c r="I30" s="61">
        <f aca="true" t="shared" si="6" ref="I30:I35">D30-H30</f>
        <v>-254463</v>
      </c>
      <c r="J30" s="33"/>
    </row>
    <row r="31" spans="2:10" s="29" customFormat="1" ht="21" customHeight="1">
      <c r="B31" s="59"/>
      <c r="C31" s="62" t="s">
        <v>33</v>
      </c>
      <c r="D31" s="61">
        <v>104878302</v>
      </c>
      <c r="E31" s="61">
        <v>51616043</v>
      </c>
      <c r="F31" s="61">
        <v>6550000</v>
      </c>
      <c r="G31" s="61"/>
      <c r="H31" s="61">
        <f>E31+F31+G32</f>
        <v>58166043</v>
      </c>
      <c r="I31" s="61">
        <f t="shared" si="6"/>
        <v>46712259</v>
      </c>
      <c r="J31" s="33"/>
    </row>
    <row r="32" spans="2:10" s="29" customFormat="1" ht="21" customHeight="1">
      <c r="B32" s="59"/>
      <c r="C32" s="62" t="s">
        <v>34</v>
      </c>
      <c r="D32" s="61">
        <v>78715153.46</v>
      </c>
      <c r="E32" s="61">
        <v>53492291</v>
      </c>
      <c r="F32" s="61">
        <v>113880000</v>
      </c>
      <c r="G32" s="61"/>
      <c r="H32" s="61">
        <f>E32+F32+G33</f>
        <v>167372291</v>
      </c>
      <c r="I32" s="61">
        <f t="shared" si="6"/>
        <v>-88657137.54</v>
      </c>
      <c r="J32" s="33"/>
    </row>
    <row r="33" spans="2:10" s="29" customFormat="1" ht="21" customHeight="1">
      <c r="B33" s="59"/>
      <c r="C33" s="62" t="s">
        <v>10</v>
      </c>
      <c r="D33" s="61">
        <v>1032376</v>
      </c>
      <c r="E33" s="61">
        <v>0</v>
      </c>
      <c r="F33" s="61">
        <v>3220000</v>
      </c>
      <c r="G33" s="61"/>
      <c r="H33" s="61">
        <f>E33+F33+G34</f>
        <v>3220000</v>
      </c>
      <c r="I33" s="61">
        <f t="shared" si="6"/>
        <v>-2187624</v>
      </c>
      <c r="J33" s="33"/>
    </row>
    <row r="34" spans="2:10" s="29" customFormat="1" ht="21" customHeight="1">
      <c r="B34" s="59"/>
      <c r="C34" s="62" t="s">
        <v>35</v>
      </c>
      <c r="D34" s="61">
        <v>5599656</v>
      </c>
      <c r="E34" s="61">
        <v>5182250</v>
      </c>
      <c r="F34" s="61">
        <v>16090000</v>
      </c>
      <c r="G34" s="61"/>
      <c r="H34" s="61">
        <f>E34+F34+G35</f>
        <v>21272250</v>
      </c>
      <c r="I34" s="61">
        <f t="shared" si="6"/>
        <v>-15672594</v>
      </c>
      <c r="J34" s="33"/>
    </row>
    <row r="35" spans="2:10" s="29" customFormat="1" ht="21" customHeight="1">
      <c r="B35" s="59"/>
      <c r="C35" s="57"/>
      <c r="D35" s="61"/>
      <c r="E35" s="61">
        <v>0</v>
      </c>
      <c r="F35" s="61">
        <v>0</v>
      </c>
      <c r="G35" s="61"/>
      <c r="H35" s="61">
        <f>E35+F35+G35</f>
        <v>0</v>
      </c>
      <c r="I35" s="61">
        <f t="shared" si="6"/>
        <v>0</v>
      </c>
      <c r="J35" s="33"/>
    </row>
    <row r="36" spans="2:10" s="94" customFormat="1" ht="21" customHeight="1">
      <c r="B36" s="89" t="s">
        <v>59</v>
      </c>
      <c r="C36" s="96"/>
      <c r="D36" s="58">
        <f aca="true" t="shared" si="7" ref="D36:I36">SUM(D37:D41)</f>
        <v>157846822.98</v>
      </c>
      <c r="E36" s="58">
        <f t="shared" si="7"/>
        <v>26339000</v>
      </c>
      <c r="F36" s="58">
        <f t="shared" si="7"/>
        <v>174956000</v>
      </c>
      <c r="G36" s="58">
        <f t="shared" si="7"/>
        <v>0</v>
      </c>
      <c r="H36" s="58">
        <f t="shared" si="7"/>
        <v>201295000</v>
      </c>
      <c r="I36" s="58">
        <f t="shared" si="7"/>
        <v>-43448177.02000001</v>
      </c>
      <c r="J36" s="9"/>
    </row>
    <row r="37" spans="2:10" s="29" customFormat="1" ht="21" customHeight="1">
      <c r="B37" s="89" t="s">
        <v>60</v>
      </c>
      <c r="C37" s="62" t="s">
        <v>32</v>
      </c>
      <c r="D37" s="61">
        <v>2061804</v>
      </c>
      <c r="E37" s="61">
        <v>0</v>
      </c>
      <c r="F37" s="61">
        <v>2500000</v>
      </c>
      <c r="G37" s="61"/>
      <c r="H37" s="61">
        <f>E37+F37+G37</f>
        <v>2500000</v>
      </c>
      <c r="I37" s="61">
        <f>D37-H37</f>
        <v>-438196</v>
      </c>
      <c r="J37" s="33"/>
    </row>
    <row r="38" spans="2:10" s="29" customFormat="1" ht="21" customHeight="1">
      <c r="B38" s="57"/>
      <c r="C38" s="62" t="s">
        <v>33</v>
      </c>
      <c r="D38" s="61">
        <v>460841</v>
      </c>
      <c r="E38" s="61">
        <v>0</v>
      </c>
      <c r="F38" s="61">
        <v>320000</v>
      </c>
      <c r="G38" s="61"/>
      <c r="H38" s="61">
        <f>E38+F38+G38</f>
        <v>320000</v>
      </c>
      <c r="I38" s="61">
        <f>D38-H38</f>
        <v>140841</v>
      </c>
      <c r="J38" s="33"/>
    </row>
    <row r="39" spans="2:10" s="29" customFormat="1" ht="21" customHeight="1">
      <c r="B39" s="59"/>
      <c r="C39" s="62" t="s">
        <v>34</v>
      </c>
      <c r="D39" s="61">
        <v>149968422.98</v>
      </c>
      <c r="E39" s="61">
        <v>26339000</v>
      </c>
      <c r="F39" s="61">
        <v>159951000</v>
      </c>
      <c r="G39" s="61"/>
      <c r="H39" s="61">
        <f>E39+F39+G39</f>
        <v>186290000</v>
      </c>
      <c r="I39" s="61">
        <f>D39-H39</f>
        <v>-36321577.02000001</v>
      </c>
      <c r="J39" s="33"/>
    </row>
    <row r="40" spans="2:10" s="29" customFormat="1" ht="21" customHeight="1">
      <c r="B40" s="59"/>
      <c r="C40" s="62" t="s">
        <v>10</v>
      </c>
      <c r="D40" s="61">
        <v>2522573</v>
      </c>
      <c r="E40" s="61">
        <v>0</v>
      </c>
      <c r="F40" s="61">
        <v>7120000</v>
      </c>
      <c r="G40" s="61"/>
      <c r="H40" s="61">
        <f>E40+F40+G40</f>
        <v>7120000</v>
      </c>
      <c r="I40" s="61">
        <f>D40-H40</f>
        <v>-4597427</v>
      </c>
      <c r="J40" s="33"/>
    </row>
    <row r="41" spans="2:10" s="29" customFormat="1" ht="21" customHeight="1">
      <c r="B41" s="59"/>
      <c r="C41" s="62" t="s">
        <v>35</v>
      </c>
      <c r="D41" s="61">
        <v>2833182</v>
      </c>
      <c r="E41" s="61">
        <v>0</v>
      </c>
      <c r="F41" s="61">
        <v>5065000</v>
      </c>
      <c r="G41" s="61"/>
      <c r="H41" s="61">
        <f>E41+F41+G41</f>
        <v>5065000</v>
      </c>
      <c r="I41" s="61">
        <f>D41-H41</f>
        <v>-2231818</v>
      </c>
      <c r="J41" s="33"/>
    </row>
    <row r="42" spans="2:10" s="30" customFormat="1" ht="21" customHeight="1">
      <c r="B42" s="69"/>
      <c r="C42" s="70"/>
      <c r="D42" s="71"/>
      <c r="E42" s="71"/>
      <c r="F42" s="71"/>
      <c r="G42" s="71"/>
      <c r="H42" s="71"/>
      <c r="I42" s="71"/>
      <c r="J42" s="37"/>
    </row>
    <row r="43" spans="2:10" s="94" customFormat="1" ht="21" customHeight="1">
      <c r="B43" s="89" t="s">
        <v>63</v>
      </c>
      <c r="C43" s="96"/>
      <c r="D43" s="58">
        <f aca="true" t="shared" si="8" ref="D43:I43">SUM(D44:D49)</f>
        <v>12564683842.519999</v>
      </c>
      <c r="E43" s="58">
        <f t="shared" si="8"/>
        <v>2686263005.9399996</v>
      </c>
      <c r="F43" s="58">
        <f t="shared" si="8"/>
        <v>12316295000</v>
      </c>
      <c r="G43" s="58">
        <f t="shared" si="8"/>
        <v>8000000</v>
      </c>
      <c r="H43" s="58">
        <f t="shared" si="8"/>
        <v>15010558005.94</v>
      </c>
      <c r="I43" s="58">
        <f t="shared" si="8"/>
        <v>-2445874163.42</v>
      </c>
      <c r="J43" s="9"/>
    </row>
    <row r="44" spans="2:10" s="29" customFormat="1" ht="21" customHeight="1">
      <c r="B44" s="89" t="s">
        <v>60</v>
      </c>
      <c r="C44" s="62" t="s">
        <v>37</v>
      </c>
      <c r="D44" s="61">
        <f>34673577.93+84576005+60000000+146289686+45142105</f>
        <v>370681373.93</v>
      </c>
      <c r="E44" s="61">
        <f>44951771.93+74273021+330128+10000000</f>
        <v>129554920.93</v>
      </c>
      <c r="F44" s="61">
        <f>113150000+60000000+277200000</f>
        <v>450350000</v>
      </c>
      <c r="G44" s="61">
        <v>0</v>
      </c>
      <c r="H44" s="61">
        <f aca="true" t="shared" si="9" ref="H44:H49">SUM(E44:G44)</f>
        <v>579904920.9300001</v>
      </c>
      <c r="I44" s="61">
        <f aca="true" t="shared" si="10" ref="I44:I49">D44-H44</f>
        <v>-209223547.00000006</v>
      </c>
      <c r="J44" s="33"/>
    </row>
    <row r="45" spans="2:10" s="29" customFormat="1" ht="21" customHeight="1">
      <c r="B45" s="59"/>
      <c r="C45" s="62" t="s">
        <v>32</v>
      </c>
      <c r="D45" s="61">
        <f>9556468.04+59902418.61+31859234.99+800000+77053983.86</f>
        <v>179172105.5</v>
      </c>
      <c r="E45" s="61">
        <f>44513316+3886561+38800000</f>
        <v>87199877</v>
      </c>
      <c r="F45" s="61">
        <f>1115284000+72350000+800000+5000000+123603000</f>
        <v>1317037000</v>
      </c>
      <c r="G45" s="61">
        <v>0</v>
      </c>
      <c r="H45" s="61">
        <f t="shared" si="9"/>
        <v>1404236877</v>
      </c>
      <c r="I45" s="61">
        <f t="shared" si="10"/>
        <v>-1225064771.5</v>
      </c>
      <c r="J45" s="33"/>
    </row>
    <row r="46" spans="2:10" s="29" customFormat="1" ht="21" customHeight="1">
      <c r="B46" s="59"/>
      <c r="C46" s="62" t="s">
        <v>33</v>
      </c>
      <c r="D46" s="61">
        <f>6203106.16+48992376.48+4376470.8+48516790.85+209363233.24+8959130+8247870.65+12322450+1915979.7+31440485</f>
        <v>380337892.87999994</v>
      </c>
      <c r="E46" s="61">
        <f>7000000+80130915.42+4789811+4515265+500000+3959130+6000000+8439000</f>
        <v>115334121.42</v>
      </c>
      <c r="F46" s="61">
        <f>10150000+86630000+157050000+5000000+15000000+5000000+15447000+30637000</f>
        <v>324914000</v>
      </c>
      <c r="G46" s="61">
        <v>0</v>
      </c>
      <c r="H46" s="61">
        <f t="shared" si="9"/>
        <v>440248121.42</v>
      </c>
      <c r="I46" s="61">
        <f t="shared" si="10"/>
        <v>-59910228.54000008</v>
      </c>
      <c r="J46" s="33"/>
    </row>
    <row r="47" spans="2:10" s="29" customFormat="1" ht="21" customHeight="1">
      <c r="B47" s="59"/>
      <c r="C47" s="62" t="s">
        <v>34</v>
      </c>
      <c r="D47" s="61">
        <f>228899962.22+1321389386.99+490042802.01+1242638.38+463720600.61+471451282.19+41557000+9306061.16+1672800000+1966120637.09+238034248.77+64012278.56+625806254.05+3465713.98+358320729.84+288065000+7469552+2611188549.48</f>
        <v>10862892697.33</v>
      </c>
      <c r="E47" s="61">
        <f>63678491.75+1479912560.08+1887445.46+4106022+11532901+136026691.76+450474951.15+45589155.23+19084+436727.43+1771485.3+54544818</f>
        <v>2249980333.16</v>
      </c>
      <c r="F47" s="61">
        <f>167311000+510960000+602548000+496775000+41557000+1672800000+1729000000+263687000+64000000+625783000+31098000+261246000+288065000+3400000+2615903000</f>
        <v>9374133000</v>
      </c>
      <c r="G47" s="61">
        <v>8000000</v>
      </c>
      <c r="H47" s="61">
        <f t="shared" si="9"/>
        <v>11632113333.16</v>
      </c>
      <c r="I47" s="61">
        <f t="shared" si="10"/>
        <v>-769220635.8299999</v>
      </c>
      <c r="J47" s="33"/>
    </row>
    <row r="48" spans="2:10" s="29" customFormat="1" ht="21" customHeight="1">
      <c r="B48" s="59"/>
      <c r="C48" s="62" t="s">
        <v>10</v>
      </c>
      <c r="D48" s="61">
        <f>179211182+370000+884524+27480111.43+1100000+419381348.95</f>
        <v>628427166.38</v>
      </c>
      <c r="E48" s="61">
        <f>402524+56000+1000000+50273711.43+190499+10928740</f>
        <v>62851474.43</v>
      </c>
      <c r="F48" s="61">
        <f>205000000+400000+1100000+516329000</f>
        <v>722829000</v>
      </c>
      <c r="G48" s="61"/>
      <c r="H48" s="61">
        <f t="shared" si="9"/>
        <v>785680474.43</v>
      </c>
      <c r="I48" s="61">
        <f t="shared" si="10"/>
        <v>-157253308.04999995</v>
      </c>
      <c r="J48" s="33"/>
    </row>
    <row r="49" spans="2:10" s="30" customFormat="1" ht="21" customHeight="1">
      <c r="B49" s="69"/>
      <c r="C49" s="72" t="s">
        <v>35</v>
      </c>
      <c r="D49" s="73">
        <f>1350840.23+50292600+42140+4225396+2262+87259368.27</f>
        <v>143172606.5</v>
      </c>
      <c r="E49" s="73">
        <f>4511613+1628516+300000+33950839+951311</f>
        <v>41342279</v>
      </c>
      <c r="F49" s="73">
        <f>2440000+31850000+643000+200000+1000000+4998000+85901000</f>
        <v>127032000</v>
      </c>
      <c r="G49" s="73"/>
      <c r="H49" s="73">
        <f t="shared" si="9"/>
        <v>168374279</v>
      </c>
      <c r="I49" s="73">
        <f t="shared" si="10"/>
        <v>-25201672.5</v>
      </c>
      <c r="J49" s="37"/>
    </row>
    <row r="50" spans="2:10" s="30" customFormat="1" ht="21" customHeight="1">
      <c r="B50" s="69"/>
      <c r="C50" s="70"/>
      <c r="D50" s="71"/>
      <c r="E50" s="71"/>
      <c r="F50" s="71"/>
      <c r="G50" s="71"/>
      <c r="H50" s="71"/>
      <c r="I50" s="71"/>
      <c r="J50" s="37"/>
    </row>
    <row r="51" spans="2:10" s="94" customFormat="1" ht="21" customHeight="1">
      <c r="B51" s="89" t="s">
        <v>64</v>
      </c>
      <c r="C51" s="96"/>
      <c r="D51" s="58">
        <f aca="true" t="shared" si="11" ref="D51:I51">SUM(D52:D58)</f>
        <v>125259294771.53</v>
      </c>
      <c r="E51" s="58">
        <f t="shared" si="11"/>
        <v>58619215233.01</v>
      </c>
      <c r="F51" s="58">
        <f t="shared" si="11"/>
        <v>111215301000</v>
      </c>
      <c r="G51" s="58">
        <f t="shared" si="11"/>
        <v>1440737000</v>
      </c>
      <c r="H51" s="58">
        <f t="shared" si="11"/>
        <v>171275253233.01</v>
      </c>
      <c r="I51" s="58">
        <f t="shared" si="11"/>
        <v>-46015958461.48</v>
      </c>
      <c r="J51" s="9"/>
    </row>
    <row r="52" spans="2:10" s="29" customFormat="1" ht="21" customHeight="1">
      <c r="B52" s="89" t="s">
        <v>60</v>
      </c>
      <c r="C52" s="62" t="s">
        <v>37</v>
      </c>
      <c r="D52" s="61">
        <v>8179284356</v>
      </c>
      <c r="E52" s="61">
        <v>1121969039.2</v>
      </c>
      <c r="F52" s="61">
        <v>9190343000</v>
      </c>
      <c r="G52" s="61">
        <v>10000000</v>
      </c>
      <c r="H52" s="61">
        <f aca="true" t="shared" si="12" ref="H52:H58">E52+F52+G52</f>
        <v>10322312039.2</v>
      </c>
      <c r="I52" s="61">
        <f aca="true" t="shared" si="13" ref="I52:I58">D52-H52</f>
        <v>-2143027683.2000008</v>
      </c>
      <c r="J52" s="33"/>
    </row>
    <row r="53" spans="2:10" s="30" customFormat="1" ht="21" customHeight="1">
      <c r="B53" s="69"/>
      <c r="C53" s="72" t="s">
        <v>32</v>
      </c>
      <c r="D53" s="73">
        <v>944685578</v>
      </c>
      <c r="E53" s="73">
        <v>1079382003.53</v>
      </c>
      <c r="F53" s="73">
        <v>1533940000</v>
      </c>
      <c r="G53" s="73">
        <v>0</v>
      </c>
      <c r="H53" s="73">
        <f t="shared" si="12"/>
        <v>2613322003.5299997</v>
      </c>
      <c r="I53" s="73">
        <f t="shared" si="13"/>
        <v>-1668636425.5299997</v>
      </c>
      <c r="J53" s="37"/>
    </row>
    <row r="54" spans="2:10" s="30" customFormat="1" ht="21" customHeight="1">
      <c r="B54" s="69"/>
      <c r="C54" s="72" t="s">
        <v>33</v>
      </c>
      <c r="D54" s="73">
        <v>6436057094</v>
      </c>
      <c r="E54" s="73">
        <v>5270674803.37</v>
      </c>
      <c r="F54" s="73">
        <v>5882315000</v>
      </c>
      <c r="G54" s="73">
        <v>618913000</v>
      </c>
      <c r="H54" s="73">
        <f t="shared" si="12"/>
        <v>11771902803.369999</v>
      </c>
      <c r="I54" s="73">
        <f t="shared" si="13"/>
        <v>-5335845709.369999</v>
      </c>
      <c r="J54" s="37"/>
    </row>
    <row r="55" spans="2:10" s="29" customFormat="1" ht="21" customHeight="1">
      <c r="B55" s="59"/>
      <c r="C55" s="62" t="s">
        <v>34</v>
      </c>
      <c r="D55" s="61">
        <v>104784226472.53</v>
      </c>
      <c r="E55" s="61">
        <v>44640330150.91</v>
      </c>
      <c r="F55" s="61">
        <v>89304257000</v>
      </c>
      <c r="G55" s="61">
        <v>811824000</v>
      </c>
      <c r="H55" s="61">
        <f t="shared" si="12"/>
        <v>134756411150.91</v>
      </c>
      <c r="I55" s="61">
        <f t="shared" si="13"/>
        <v>-29972184678.380005</v>
      </c>
      <c r="J55" s="33"/>
    </row>
    <row r="56" spans="2:10" s="29" customFormat="1" ht="21" customHeight="1">
      <c r="B56" s="59"/>
      <c r="C56" s="62" t="s">
        <v>10</v>
      </c>
      <c r="D56" s="61">
        <v>415203310</v>
      </c>
      <c r="E56" s="61">
        <v>87135454</v>
      </c>
      <c r="F56" s="61">
        <v>745131000</v>
      </c>
      <c r="G56" s="61">
        <v>0</v>
      </c>
      <c r="H56" s="61">
        <f t="shared" si="12"/>
        <v>832266454</v>
      </c>
      <c r="I56" s="61">
        <f t="shared" si="13"/>
        <v>-417063144</v>
      </c>
      <c r="J56" s="33"/>
    </row>
    <row r="57" spans="2:10" s="29" customFormat="1" ht="21" customHeight="1">
      <c r="B57" s="59"/>
      <c r="C57" s="62" t="s">
        <v>40</v>
      </c>
      <c r="D57" s="61">
        <v>4179720309</v>
      </c>
      <c r="E57" s="60">
        <v>6391106948</v>
      </c>
      <c r="F57" s="61">
        <v>4236300000</v>
      </c>
      <c r="G57" s="61">
        <v>0</v>
      </c>
      <c r="H57" s="61">
        <f t="shared" si="12"/>
        <v>10627406948</v>
      </c>
      <c r="I57" s="61">
        <f t="shared" si="13"/>
        <v>-6447686639</v>
      </c>
      <c r="J57" s="33"/>
    </row>
    <row r="58" spans="2:10" s="29" customFormat="1" ht="21" customHeight="1">
      <c r="B58" s="59"/>
      <c r="C58" s="62" t="s">
        <v>35</v>
      </c>
      <c r="D58" s="61">
        <v>320117652</v>
      </c>
      <c r="E58" s="61">
        <v>28616834</v>
      </c>
      <c r="F58" s="61">
        <v>323015000</v>
      </c>
      <c r="G58" s="61">
        <v>0</v>
      </c>
      <c r="H58" s="61">
        <f t="shared" si="12"/>
        <v>351631834</v>
      </c>
      <c r="I58" s="61">
        <f t="shared" si="13"/>
        <v>-31514182</v>
      </c>
      <c r="J58" s="33"/>
    </row>
    <row r="59" spans="2:9" s="29" customFormat="1" ht="21" customHeight="1">
      <c r="B59" s="69"/>
      <c r="C59" s="70"/>
      <c r="D59" s="71"/>
      <c r="E59" s="71"/>
      <c r="F59" s="71"/>
      <c r="G59" s="71"/>
      <c r="H59" s="71"/>
      <c r="I59" s="71"/>
    </row>
    <row r="60" spans="2:10" s="98" customFormat="1" ht="21" customHeight="1">
      <c r="B60" s="103" t="s">
        <v>65</v>
      </c>
      <c r="C60" s="96"/>
      <c r="D60" s="97">
        <f aca="true" t="shared" si="14" ref="D60:I60">SUM(D61:D66)</f>
        <v>261250368</v>
      </c>
      <c r="E60" s="97">
        <f t="shared" si="14"/>
        <v>18861560</v>
      </c>
      <c r="F60" s="97">
        <f t="shared" si="14"/>
        <v>294591000</v>
      </c>
      <c r="G60" s="97">
        <f t="shared" si="14"/>
        <v>0</v>
      </c>
      <c r="H60" s="97">
        <f t="shared" si="14"/>
        <v>313452560</v>
      </c>
      <c r="I60" s="97">
        <f t="shared" si="14"/>
        <v>-52202192</v>
      </c>
      <c r="J60" s="44"/>
    </row>
    <row r="61" spans="2:10" s="6" customFormat="1" ht="21" customHeight="1">
      <c r="B61" s="75" t="s">
        <v>66</v>
      </c>
      <c r="C61" s="72" t="s">
        <v>32</v>
      </c>
      <c r="D61" s="69">
        <v>0</v>
      </c>
      <c r="E61" s="73">
        <v>0</v>
      </c>
      <c r="F61" s="73">
        <v>1410000</v>
      </c>
      <c r="G61" s="73">
        <v>0</v>
      </c>
      <c r="H61" s="73">
        <f aca="true" t="shared" si="15" ref="H61:H66">E61+F61+G61</f>
        <v>1410000</v>
      </c>
      <c r="I61" s="73">
        <f aca="true" t="shared" si="16" ref="I61:I66">D61-H61</f>
        <v>-1410000</v>
      </c>
      <c r="J61" s="37"/>
    </row>
    <row r="62" spans="2:10" s="6" customFormat="1" ht="21" customHeight="1">
      <c r="B62" s="74"/>
      <c r="C62" s="62" t="s">
        <v>33</v>
      </c>
      <c r="D62" s="59">
        <v>6329230</v>
      </c>
      <c r="E62" s="73">
        <v>490607</v>
      </c>
      <c r="F62" s="73">
        <v>45740000</v>
      </c>
      <c r="G62" s="73">
        <v>0</v>
      </c>
      <c r="H62" s="61">
        <f t="shared" si="15"/>
        <v>46230607</v>
      </c>
      <c r="I62" s="61">
        <f t="shared" si="16"/>
        <v>-39901377</v>
      </c>
      <c r="J62" s="37"/>
    </row>
    <row r="63" spans="2:10" s="6" customFormat="1" ht="21" customHeight="1">
      <c r="B63" s="74"/>
      <c r="C63" s="72" t="s">
        <v>34</v>
      </c>
      <c r="D63" s="69">
        <v>203902596</v>
      </c>
      <c r="E63" s="73">
        <v>18166953</v>
      </c>
      <c r="F63" s="73">
        <v>245285000</v>
      </c>
      <c r="G63" s="73">
        <v>0</v>
      </c>
      <c r="H63" s="73">
        <f t="shared" si="15"/>
        <v>263451953</v>
      </c>
      <c r="I63" s="73">
        <f t="shared" si="16"/>
        <v>-59549357</v>
      </c>
      <c r="J63" s="37"/>
    </row>
    <row r="64" spans="2:10" s="6" customFormat="1" ht="21" customHeight="1">
      <c r="B64" s="74"/>
      <c r="C64" s="62" t="s">
        <v>10</v>
      </c>
      <c r="D64" s="59">
        <v>803571</v>
      </c>
      <c r="E64" s="73">
        <v>0</v>
      </c>
      <c r="F64" s="73">
        <v>0</v>
      </c>
      <c r="G64" s="73"/>
      <c r="H64" s="61">
        <f t="shared" si="15"/>
        <v>0</v>
      </c>
      <c r="I64" s="61">
        <f t="shared" si="16"/>
        <v>803571</v>
      </c>
      <c r="J64" s="37"/>
    </row>
    <row r="65" spans="2:10" s="6" customFormat="1" ht="21" customHeight="1">
      <c r="B65" s="75"/>
      <c r="C65" s="62" t="s">
        <v>35</v>
      </c>
      <c r="D65" s="59">
        <v>3038418</v>
      </c>
      <c r="E65" s="73">
        <v>204000</v>
      </c>
      <c r="F65" s="73">
        <v>2156000</v>
      </c>
      <c r="G65" s="73"/>
      <c r="H65" s="61">
        <f t="shared" si="15"/>
        <v>2360000</v>
      </c>
      <c r="I65" s="61">
        <f t="shared" si="16"/>
        <v>678418</v>
      </c>
      <c r="J65" s="37"/>
    </row>
    <row r="66" spans="2:10" s="49" customFormat="1" ht="21.75" customHeight="1">
      <c r="B66" s="75"/>
      <c r="C66" s="72" t="s">
        <v>41</v>
      </c>
      <c r="D66" s="76">
        <v>47176553</v>
      </c>
      <c r="E66" s="77">
        <v>0</v>
      </c>
      <c r="F66" s="77">
        <v>0</v>
      </c>
      <c r="G66" s="77"/>
      <c r="H66" s="78">
        <f t="shared" si="15"/>
        <v>0</v>
      </c>
      <c r="I66" s="78">
        <f t="shared" si="16"/>
        <v>47176553</v>
      </c>
      <c r="J66" s="48"/>
    </row>
    <row r="67" spans="2:10" s="6" customFormat="1" ht="30" customHeight="1">
      <c r="B67" s="75"/>
      <c r="C67" s="57"/>
      <c r="D67" s="59"/>
      <c r="E67" s="73"/>
      <c r="F67" s="73"/>
      <c r="G67" s="73"/>
      <c r="H67" s="61"/>
      <c r="I67" s="61"/>
      <c r="J67" s="37"/>
    </row>
    <row r="68" spans="2:10" s="98" customFormat="1" ht="21" customHeight="1">
      <c r="B68" s="104" t="s">
        <v>67</v>
      </c>
      <c r="C68" s="99"/>
      <c r="D68" s="100">
        <f aca="true" t="shared" si="17" ref="D68:I68">SUM(D69:D73)</f>
        <v>50270114</v>
      </c>
      <c r="E68" s="100">
        <f t="shared" si="17"/>
        <v>41304936</v>
      </c>
      <c r="F68" s="100">
        <f t="shared" si="17"/>
        <v>1639000</v>
      </c>
      <c r="G68" s="100">
        <f t="shared" si="17"/>
        <v>11195508</v>
      </c>
      <c r="H68" s="100">
        <f t="shared" si="17"/>
        <v>54139444</v>
      </c>
      <c r="I68" s="100">
        <f t="shared" si="17"/>
        <v>-3869330</v>
      </c>
      <c r="J68" s="44"/>
    </row>
    <row r="69" spans="2:10" s="6" customFormat="1" ht="21" customHeight="1">
      <c r="B69" s="75" t="s">
        <v>68</v>
      </c>
      <c r="C69" s="72" t="s">
        <v>42</v>
      </c>
      <c r="D69" s="69">
        <v>11195508</v>
      </c>
      <c r="E69" s="73">
        <v>0</v>
      </c>
      <c r="F69" s="73">
        <v>0</v>
      </c>
      <c r="G69" s="73">
        <v>11195508</v>
      </c>
      <c r="H69" s="73">
        <f>E69+F69+G69</f>
        <v>11195508</v>
      </c>
      <c r="I69" s="73">
        <f>D69-H69</f>
        <v>0</v>
      </c>
      <c r="J69" s="37"/>
    </row>
    <row r="70" spans="2:10" s="6" customFormat="1" ht="21" customHeight="1">
      <c r="B70" s="74"/>
      <c r="C70" s="62" t="s">
        <v>33</v>
      </c>
      <c r="D70" s="59">
        <v>0</v>
      </c>
      <c r="E70" s="73">
        <v>339415000</v>
      </c>
      <c r="F70" s="73">
        <v>0</v>
      </c>
      <c r="G70" s="73"/>
      <c r="H70" s="61">
        <f>E70+F70+G70</f>
        <v>339415000</v>
      </c>
      <c r="I70" s="61">
        <f>D70-H70</f>
        <v>-339415000</v>
      </c>
      <c r="J70" s="37"/>
    </row>
    <row r="71" spans="2:10" s="49" customFormat="1" ht="21" customHeight="1">
      <c r="B71" s="74"/>
      <c r="C71" s="72" t="s">
        <v>34</v>
      </c>
      <c r="D71" s="79">
        <f>499500+139000</f>
        <v>638500</v>
      </c>
      <c r="E71" s="77">
        <v>246401000</v>
      </c>
      <c r="F71" s="77">
        <v>1066000</v>
      </c>
      <c r="G71" s="77"/>
      <c r="H71" s="77">
        <f>E71+F71+G71</f>
        <v>247467000</v>
      </c>
      <c r="I71" s="77">
        <f>D71-H71</f>
        <v>-246828500</v>
      </c>
      <c r="J71" s="48"/>
    </row>
    <row r="72" spans="2:10" s="31" customFormat="1" ht="21" customHeight="1" thickBot="1">
      <c r="B72" s="80"/>
      <c r="C72" s="81" t="s">
        <v>35</v>
      </c>
      <c r="D72" s="82">
        <f>2750512+203820</f>
        <v>2954332</v>
      </c>
      <c r="E72" s="83">
        <v>13865333</v>
      </c>
      <c r="F72" s="83">
        <v>573000</v>
      </c>
      <c r="G72" s="83"/>
      <c r="H72" s="83">
        <f>E72+F72+G72</f>
        <v>14438333</v>
      </c>
      <c r="I72" s="83">
        <f>D72-H72</f>
        <v>-11484001</v>
      </c>
      <c r="J72" s="36"/>
    </row>
    <row r="73" spans="2:10" s="6" customFormat="1" ht="21" customHeight="1">
      <c r="B73" s="75"/>
      <c r="C73" s="72" t="s">
        <v>41</v>
      </c>
      <c r="D73" s="59">
        <v>35481774</v>
      </c>
      <c r="E73" s="73">
        <v>-558376397</v>
      </c>
      <c r="F73" s="73"/>
      <c r="G73" s="73"/>
      <c r="H73" s="61">
        <f>E73+F73+G73</f>
        <v>-558376397</v>
      </c>
      <c r="I73" s="61">
        <f>D73-H73</f>
        <v>593858171</v>
      </c>
      <c r="J73" s="37"/>
    </row>
    <row r="74" spans="2:10" s="6" customFormat="1" ht="21" customHeight="1">
      <c r="B74" s="75"/>
      <c r="C74" s="57"/>
      <c r="D74" s="59"/>
      <c r="E74" s="73"/>
      <c r="F74" s="73"/>
      <c r="G74" s="73"/>
      <c r="H74" s="61"/>
      <c r="I74" s="61"/>
      <c r="J74" s="37"/>
    </row>
    <row r="75" spans="2:10" s="98" customFormat="1" ht="21" customHeight="1">
      <c r="B75" s="103" t="s">
        <v>69</v>
      </c>
      <c r="C75" s="96"/>
      <c r="D75" s="97">
        <f aca="true" t="shared" si="18" ref="D75:I75">SUM(D76:D79)</f>
        <v>292684</v>
      </c>
      <c r="E75" s="97">
        <f t="shared" si="18"/>
        <v>0</v>
      </c>
      <c r="F75" s="97">
        <f t="shared" si="18"/>
        <v>5030000</v>
      </c>
      <c r="G75" s="97">
        <f t="shared" si="18"/>
        <v>0</v>
      </c>
      <c r="H75" s="97">
        <f t="shared" si="18"/>
        <v>5030000</v>
      </c>
      <c r="I75" s="97">
        <f t="shared" si="18"/>
        <v>-4737316</v>
      </c>
      <c r="J75" s="44"/>
    </row>
    <row r="76" spans="2:10" s="6" customFormat="1" ht="21" customHeight="1">
      <c r="B76" s="75" t="s">
        <v>66</v>
      </c>
      <c r="C76" s="62" t="s">
        <v>33</v>
      </c>
      <c r="D76" s="59">
        <v>0</v>
      </c>
      <c r="E76" s="73">
        <v>0</v>
      </c>
      <c r="F76" s="73">
        <v>1000000</v>
      </c>
      <c r="G76" s="73">
        <v>0</v>
      </c>
      <c r="H76" s="61">
        <f>E77+F76+G77</f>
        <v>1000000</v>
      </c>
      <c r="I76" s="61">
        <f>D76-H76</f>
        <v>-1000000</v>
      </c>
      <c r="J76" s="37"/>
    </row>
    <row r="77" spans="2:10" s="6" customFormat="1" ht="21" customHeight="1">
      <c r="B77" s="74"/>
      <c r="C77" s="62" t="s">
        <v>34</v>
      </c>
      <c r="D77" s="59">
        <v>197732</v>
      </c>
      <c r="E77" s="73">
        <v>0</v>
      </c>
      <c r="F77" s="73">
        <v>2520000</v>
      </c>
      <c r="G77" s="73"/>
      <c r="H77" s="61">
        <f>E78+F77+G78</f>
        <v>2520000</v>
      </c>
      <c r="I77" s="61">
        <f>D77-H77</f>
        <v>-2322268</v>
      </c>
      <c r="J77" s="37"/>
    </row>
    <row r="78" spans="2:10" s="6" customFormat="1" ht="21" customHeight="1">
      <c r="B78" s="74"/>
      <c r="C78" s="62" t="s">
        <v>10</v>
      </c>
      <c r="D78" s="59">
        <v>0</v>
      </c>
      <c r="E78" s="73">
        <v>0</v>
      </c>
      <c r="F78" s="73">
        <v>450000</v>
      </c>
      <c r="G78" s="73"/>
      <c r="H78" s="61">
        <f>E79+F78+G79</f>
        <v>450000</v>
      </c>
      <c r="I78" s="61">
        <f>D78-H78</f>
        <v>-450000</v>
      </c>
      <c r="J78" s="37"/>
    </row>
    <row r="79" spans="2:10" s="6" customFormat="1" ht="21" customHeight="1">
      <c r="B79" s="74"/>
      <c r="C79" s="62" t="s">
        <v>35</v>
      </c>
      <c r="D79" s="59">
        <v>94952</v>
      </c>
      <c r="E79" s="73">
        <v>0</v>
      </c>
      <c r="F79" s="73">
        <v>1060000</v>
      </c>
      <c r="G79" s="73"/>
      <c r="H79" s="61">
        <f>E80+F79+G80</f>
        <v>1060000</v>
      </c>
      <c r="I79" s="61">
        <f>D79-H79</f>
        <v>-965048</v>
      </c>
      <c r="J79" s="37"/>
    </row>
    <row r="80" spans="2:10" s="6" customFormat="1" ht="21" customHeight="1">
      <c r="B80" s="75"/>
      <c r="C80" s="57"/>
      <c r="D80" s="59"/>
      <c r="E80" s="73"/>
      <c r="F80" s="73"/>
      <c r="G80" s="73"/>
      <c r="H80" s="61"/>
      <c r="I80" s="61"/>
      <c r="J80" s="37"/>
    </row>
    <row r="81" spans="2:10" s="98" customFormat="1" ht="21" customHeight="1">
      <c r="B81" s="103" t="s">
        <v>70</v>
      </c>
      <c r="C81" s="96"/>
      <c r="D81" s="97">
        <f aca="true" t="shared" si="19" ref="D81:I81">SUM(D82:D87)</f>
        <v>161858180</v>
      </c>
      <c r="E81" s="97">
        <f t="shared" si="19"/>
        <v>216202077</v>
      </c>
      <c r="F81" s="97">
        <f t="shared" si="19"/>
        <v>313772000</v>
      </c>
      <c r="G81" s="97">
        <f t="shared" si="19"/>
        <v>0</v>
      </c>
      <c r="H81" s="97">
        <f t="shared" si="19"/>
        <v>529974077</v>
      </c>
      <c r="I81" s="97">
        <f t="shared" si="19"/>
        <v>-368115897</v>
      </c>
      <c r="J81" s="44"/>
    </row>
    <row r="82" spans="2:10" s="6" customFormat="1" ht="21" customHeight="1">
      <c r="B82" s="75" t="s">
        <v>68</v>
      </c>
      <c r="C82" s="62" t="s">
        <v>43</v>
      </c>
      <c r="D82" s="73">
        <v>132693</v>
      </c>
      <c r="E82" s="73">
        <v>0</v>
      </c>
      <c r="F82" s="73">
        <v>0</v>
      </c>
      <c r="G82" s="73">
        <v>0</v>
      </c>
      <c r="H82" s="61">
        <f aca="true" t="shared" si="20" ref="H82:H87">E82+F82+G82</f>
        <v>0</v>
      </c>
      <c r="I82" s="61">
        <f aca="true" t="shared" si="21" ref="I82:I87">D82-H82</f>
        <v>132693</v>
      </c>
      <c r="J82" s="37"/>
    </row>
    <row r="83" spans="2:10" s="6" customFormat="1" ht="21" customHeight="1">
      <c r="B83" s="74"/>
      <c r="C83" s="62" t="s">
        <v>32</v>
      </c>
      <c r="D83" s="73">
        <v>1568000</v>
      </c>
      <c r="E83" s="73">
        <v>0</v>
      </c>
      <c r="F83" s="73">
        <v>7000000</v>
      </c>
      <c r="G83" s="73"/>
      <c r="H83" s="61">
        <f t="shared" si="20"/>
        <v>7000000</v>
      </c>
      <c r="I83" s="61">
        <f t="shared" si="21"/>
        <v>-5432000</v>
      </c>
      <c r="J83" s="37"/>
    </row>
    <row r="84" spans="2:10" s="6" customFormat="1" ht="21" customHeight="1">
      <c r="B84" s="74"/>
      <c r="C84" s="62" t="s">
        <v>33</v>
      </c>
      <c r="D84" s="73">
        <v>18457065</v>
      </c>
      <c r="E84" s="73">
        <v>17919750</v>
      </c>
      <c r="F84" s="73">
        <v>53600000</v>
      </c>
      <c r="G84" s="73"/>
      <c r="H84" s="61">
        <f t="shared" si="20"/>
        <v>71519750</v>
      </c>
      <c r="I84" s="61">
        <f t="shared" si="21"/>
        <v>-53062685</v>
      </c>
      <c r="J84" s="37"/>
    </row>
    <row r="85" spans="2:10" s="6" customFormat="1" ht="21" customHeight="1">
      <c r="B85" s="74"/>
      <c r="C85" s="62" t="s">
        <v>34</v>
      </c>
      <c r="D85" s="73">
        <v>139764985</v>
      </c>
      <c r="E85" s="73">
        <v>198243421</v>
      </c>
      <c r="F85" s="73">
        <v>247043000</v>
      </c>
      <c r="G85" s="73"/>
      <c r="H85" s="61">
        <f t="shared" si="20"/>
        <v>445286421</v>
      </c>
      <c r="I85" s="61">
        <f t="shared" si="21"/>
        <v>-305521436</v>
      </c>
      <c r="J85" s="37"/>
    </row>
    <row r="86" spans="2:10" s="6" customFormat="1" ht="21" customHeight="1">
      <c r="B86" s="74"/>
      <c r="C86" s="62" t="s">
        <v>10</v>
      </c>
      <c r="D86" s="73">
        <v>354290</v>
      </c>
      <c r="E86" s="73">
        <v>38906</v>
      </c>
      <c r="F86" s="73">
        <v>3050000</v>
      </c>
      <c r="G86" s="73"/>
      <c r="H86" s="61">
        <f t="shared" si="20"/>
        <v>3088906</v>
      </c>
      <c r="I86" s="61">
        <f t="shared" si="21"/>
        <v>-2734616</v>
      </c>
      <c r="J86" s="37"/>
    </row>
    <row r="87" spans="2:10" s="6" customFormat="1" ht="21" customHeight="1">
      <c r="B87" s="75"/>
      <c r="C87" s="62" t="s">
        <v>35</v>
      </c>
      <c r="D87" s="73">
        <v>1581147</v>
      </c>
      <c r="E87" s="73">
        <v>0</v>
      </c>
      <c r="F87" s="73">
        <v>3079000</v>
      </c>
      <c r="G87" s="73"/>
      <c r="H87" s="61">
        <f t="shared" si="20"/>
        <v>3079000</v>
      </c>
      <c r="I87" s="61">
        <f t="shared" si="21"/>
        <v>-1497853</v>
      </c>
      <c r="J87" s="37"/>
    </row>
    <row r="88" spans="2:10" s="6" customFormat="1" ht="21" customHeight="1">
      <c r="B88" s="75"/>
      <c r="C88" s="57"/>
      <c r="D88" s="59"/>
      <c r="E88" s="73"/>
      <c r="F88" s="73"/>
      <c r="G88" s="73"/>
      <c r="H88" s="61"/>
      <c r="I88" s="61"/>
      <c r="J88" s="37"/>
    </row>
    <row r="89" spans="2:10" s="98" customFormat="1" ht="21" customHeight="1">
      <c r="B89" s="103" t="s">
        <v>71</v>
      </c>
      <c r="C89" s="96"/>
      <c r="D89" s="97">
        <f aca="true" t="shared" si="22" ref="D89:I89">SUM(D90:D95)</f>
        <v>10024504579</v>
      </c>
      <c r="E89" s="97">
        <f t="shared" si="22"/>
        <v>4525800900</v>
      </c>
      <c r="F89" s="97">
        <f t="shared" si="22"/>
        <v>14077051000</v>
      </c>
      <c r="G89" s="97">
        <f t="shared" si="22"/>
        <v>600000000</v>
      </c>
      <c r="H89" s="97">
        <f t="shared" si="22"/>
        <v>19202851900</v>
      </c>
      <c r="I89" s="97">
        <f t="shared" si="22"/>
        <v>-9178347321</v>
      </c>
      <c r="J89" s="44"/>
    </row>
    <row r="90" spans="2:10" s="6" customFormat="1" ht="21" customHeight="1">
      <c r="B90" s="75" t="s">
        <v>66</v>
      </c>
      <c r="C90" s="62" t="s">
        <v>43</v>
      </c>
      <c r="D90" s="59">
        <v>337451743</v>
      </c>
      <c r="E90" s="73">
        <v>224246121</v>
      </c>
      <c r="F90" s="73">
        <v>2379804000</v>
      </c>
      <c r="G90" s="73"/>
      <c r="H90" s="61">
        <f aca="true" t="shared" si="23" ref="H90:H95">E90+F90+G90</f>
        <v>2604050121</v>
      </c>
      <c r="I90" s="61">
        <f aca="true" t="shared" si="24" ref="I90:I95">D90-H90</f>
        <v>-2266598378</v>
      </c>
      <c r="J90" s="37"/>
    </row>
    <row r="91" spans="2:10" s="6" customFormat="1" ht="21" customHeight="1">
      <c r="B91" s="74"/>
      <c r="C91" s="62" t="s">
        <v>32</v>
      </c>
      <c r="D91" s="59">
        <v>144452410</v>
      </c>
      <c r="E91" s="73">
        <v>60899697</v>
      </c>
      <c r="F91" s="73">
        <v>243100000</v>
      </c>
      <c r="G91" s="73"/>
      <c r="H91" s="61">
        <f t="shared" si="23"/>
        <v>303999697</v>
      </c>
      <c r="I91" s="61">
        <f t="shared" si="24"/>
        <v>-159547287</v>
      </c>
      <c r="J91" s="37"/>
    </row>
    <row r="92" spans="2:10" s="6" customFormat="1" ht="21" customHeight="1">
      <c r="B92" s="74"/>
      <c r="C92" s="62" t="s">
        <v>33</v>
      </c>
      <c r="D92" s="59">
        <v>189603742</v>
      </c>
      <c r="E92" s="73">
        <v>214411974</v>
      </c>
      <c r="F92" s="73">
        <v>415349000</v>
      </c>
      <c r="G92" s="73"/>
      <c r="H92" s="61">
        <f t="shared" si="23"/>
        <v>629760974</v>
      </c>
      <c r="I92" s="61">
        <f t="shared" si="24"/>
        <v>-440157232</v>
      </c>
      <c r="J92" s="37"/>
    </row>
    <row r="93" spans="2:10" s="6" customFormat="1" ht="21" customHeight="1">
      <c r="B93" s="74"/>
      <c r="C93" s="72" t="s">
        <v>34</v>
      </c>
      <c r="D93" s="69">
        <v>9314387784</v>
      </c>
      <c r="E93" s="73">
        <v>4021955489</v>
      </c>
      <c r="F93" s="73">
        <v>10969088000</v>
      </c>
      <c r="G93" s="73">
        <v>600000000</v>
      </c>
      <c r="H93" s="73">
        <f t="shared" si="23"/>
        <v>15591043489</v>
      </c>
      <c r="I93" s="73">
        <f t="shared" si="24"/>
        <v>-6276655705</v>
      </c>
      <c r="J93" s="37"/>
    </row>
    <row r="94" spans="2:10" s="6" customFormat="1" ht="21" customHeight="1">
      <c r="B94" s="74"/>
      <c r="C94" s="62" t="s">
        <v>10</v>
      </c>
      <c r="D94" s="59">
        <v>21492357</v>
      </c>
      <c r="E94" s="73">
        <v>4287619</v>
      </c>
      <c r="F94" s="73">
        <v>47820000</v>
      </c>
      <c r="G94" s="73"/>
      <c r="H94" s="61">
        <f t="shared" si="23"/>
        <v>52107619</v>
      </c>
      <c r="I94" s="61">
        <f t="shared" si="24"/>
        <v>-30615262</v>
      </c>
      <c r="J94" s="37"/>
    </row>
    <row r="95" spans="2:10" s="6" customFormat="1" ht="21" customHeight="1">
      <c r="B95" s="75"/>
      <c r="C95" s="72" t="s">
        <v>35</v>
      </c>
      <c r="D95" s="69">
        <v>17116543</v>
      </c>
      <c r="E95" s="73">
        <v>0</v>
      </c>
      <c r="F95" s="73">
        <v>21890000</v>
      </c>
      <c r="G95" s="73"/>
      <c r="H95" s="73">
        <f t="shared" si="23"/>
        <v>21890000</v>
      </c>
      <c r="I95" s="73">
        <f t="shared" si="24"/>
        <v>-4773457</v>
      </c>
      <c r="J95" s="37"/>
    </row>
    <row r="96" spans="2:10" s="6" customFormat="1" ht="21" customHeight="1">
      <c r="B96" s="75"/>
      <c r="C96" s="57"/>
      <c r="D96" s="59"/>
      <c r="E96" s="73"/>
      <c r="F96" s="73"/>
      <c r="G96" s="73"/>
      <c r="H96" s="61"/>
      <c r="I96" s="61"/>
      <c r="J96" s="37"/>
    </row>
    <row r="97" spans="2:10" s="6" customFormat="1" ht="21" customHeight="1">
      <c r="B97" s="84" t="s">
        <v>44</v>
      </c>
      <c r="C97" s="85" t="s">
        <v>1</v>
      </c>
      <c r="D97" s="86">
        <f aca="true" t="shared" si="25" ref="D97:I97">D99+D105+D113+D120+D129+D138+D145+D152</f>
        <v>4383285071.389999</v>
      </c>
      <c r="E97" s="86">
        <f t="shared" si="25"/>
        <v>2091341335</v>
      </c>
      <c r="F97" s="86">
        <f t="shared" si="25"/>
        <v>4274945000</v>
      </c>
      <c r="G97" s="86">
        <f t="shared" si="25"/>
        <v>76000000</v>
      </c>
      <c r="H97" s="86">
        <f t="shared" si="25"/>
        <v>6442286335</v>
      </c>
      <c r="I97" s="86">
        <f t="shared" si="25"/>
        <v>-2059001263.6100001</v>
      </c>
      <c r="J97" s="38"/>
    </row>
    <row r="98" spans="2:10" s="6" customFormat="1" ht="21" customHeight="1">
      <c r="B98" s="75"/>
      <c r="C98" s="85"/>
      <c r="D98" s="86"/>
      <c r="E98" s="86"/>
      <c r="F98" s="86"/>
      <c r="G98" s="86"/>
      <c r="H98" s="86"/>
      <c r="I98" s="86"/>
      <c r="J98" s="38"/>
    </row>
    <row r="99" spans="2:10" s="94" customFormat="1" ht="20.25" customHeight="1">
      <c r="B99" s="64" t="s">
        <v>91</v>
      </c>
      <c r="C99" s="96"/>
      <c r="D99" s="58">
        <f aca="true" t="shared" si="26" ref="D99:I99">SUM(D100:D103)</f>
        <v>10571644</v>
      </c>
      <c r="E99" s="58">
        <f t="shared" si="26"/>
        <v>0</v>
      </c>
      <c r="F99" s="58">
        <f t="shared" si="26"/>
        <v>10671000</v>
      </c>
      <c r="G99" s="58">
        <f t="shared" si="26"/>
        <v>0</v>
      </c>
      <c r="H99" s="58">
        <f t="shared" si="26"/>
        <v>10671000</v>
      </c>
      <c r="I99" s="58">
        <f t="shared" si="26"/>
        <v>-99356</v>
      </c>
      <c r="J99" s="9"/>
    </row>
    <row r="100" spans="2:10" ht="20.25" customHeight="1">
      <c r="B100" s="59"/>
      <c r="C100" s="62" t="s">
        <v>33</v>
      </c>
      <c r="D100" s="61">
        <v>1327942</v>
      </c>
      <c r="E100" s="61"/>
      <c r="F100" s="61">
        <v>1500000</v>
      </c>
      <c r="G100" s="61"/>
      <c r="H100" s="61">
        <f>E100+F100+G100</f>
        <v>1500000</v>
      </c>
      <c r="I100" s="61">
        <f>D100-H100</f>
        <v>-172058</v>
      </c>
      <c r="J100" s="33"/>
    </row>
    <row r="101" spans="2:10" ht="20.25" customHeight="1">
      <c r="B101" s="59"/>
      <c r="C101" s="62" t="s">
        <v>34</v>
      </c>
      <c r="D101" s="61">
        <v>8584084</v>
      </c>
      <c r="E101" s="61"/>
      <c r="F101" s="61">
        <v>8511000</v>
      </c>
      <c r="G101" s="61"/>
      <c r="H101" s="61">
        <f>E101+F101+G101</f>
        <v>8511000</v>
      </c>
      <c r="I101" s="61">
        <f>D101-H101</f>
        <v>73084</v>
      </c>
      <c r="J101" s="33"/>
    </row>
    <row r="102" spans="2:10" ht="20.25" customHeight="1">
      <c r="B102" s="59"/>
      <c r="C102" s="62" t="s">
        <v>10</v>
      </c>
      <c r="D102" s="61">
        <v>250000</v>
      </c>
      <c r="E102" s="61">
        <v>0</v>
      </c>
      <c r="F102" s="61">
        <v>250000</v>
      </c>
      <c r="G102" s="61"/>
      <c r="H102" s="61">
        <f>E102+F102+G102</f>
        <v>250000</v>
      </c>
      <c r="I102" s="61">
        <f>D102-H102</f>
        <v>0</v>
      </c>
      <c r="J102" s="33"/>
    </row>
    <row r="103" spans="2:10" s="6" customFormat="1" ht="18" customHeight="1">
      <c r="B103" s="69"/>
      <c r="C103" s="72" t="s">
        <v>35</v>
      </c>
      <c r="D103" s="73">
        <v>409618</v>
      </c>
      <c r="E103" s="71">
        <v>0</v>
      </c>
      <c r="F103" s="71">
        <v>410000</v>
      </c>
      <c r="G103" s="71"/>
      <c r="H103" s="73">
        <f>E103+F103+G103</f>
        <v>410000</v>
      </c>
      <c r="I103" s="73">
        <f>D103-H103</f>
        <v>-382</v>
      </c>
      <c r="J103" s="37"/>
    </row>
    <row r="104" spans="2:10" s="6" customFormat="1" ht="20.25" customHeight="1">
      <c r="B104" s="75"/>
      <c r="C104" s="85"/>
      <c r="D104" s="69"/>
      <c r="E104" s="73"/>
      <c r="F104" s="73"/>
      <c r="G104" s="73"/>
      <c r="H104" s="73"/>
      <c r="I104" s="73"/>
      <c r="J104" s="37"/>
    </row>
    <row r="105" spans="2:10" s="94" customFormat="1" ht="20.25" customHeight="1">
      <c r="B105" s="89" t="s">
        <v>72</v>
      </c>
      <c r="C105" s="96"/>
      <c r="D105" s="58">
        <f aca="true" t="shared" si="27" ref="D105:I105">SUM(D106:D111)</f>
        <v>101230663</v>
      </c>
      <c r="E105" s="58">
        <f t="shared" si="27"/>
        <v>0</v>
      </c>
      <c r="F105" s="58">
        <f t="shared" si="27"/>
        <v>104861000</v>
      </c>
      <c r="G105" s="58">
        <f t="shared" si="27"/>
        <v>0</v>
      </c>
      <c r="H105" s="58">
        <f t="shared" si="27"/>
        <v>104861000</v>
      </c>
      <c r="I105" s="58">
        <f t="shared" si="27"/>
        <v>-3630337</v>
      </c>
      <c r="J105" s="9"/>
    </row>
    <row r="106" spans="2:10" ht="20.25" customHeight="1">
      <c r="B106" s="59"/>
      <c r="C106" s="62" t="s">
        <v>45</v>
      </c>
      <c r="D106" s="61">
        <v>779555</v>
      </c>
      <c r="E106" s="59">
        <v>0</v>
      </c>
      <c r="F106" s="61">
        <v>427000</v>
      </c>
      <c r="G106" s="61"/>
      <c r="H106" s="61">
        <f aca="true" t="shared" si="28" ref="H106:H111">SUM(E106:G106)</f>
        <v>427000</v>
      </c>
      <c r="I106" s="61">
        <f aca="true" t="shared" si="29" ref="I106:I111">D106-H106</f>
        <v>352555</v>
      </c>
      <c r="J106" s="33"/>
    </row>
    <row r="107" spans="2:10" ht="20.25" customHeight="1">
      <c r="B107" s="59"/>
      <c r="C107" s="62" t="s">
        <v>33</v>
      </c>
      <c r="D107" s="61">
        <v>3976970</v>
      </c>
      <c r="E107" s="59">
        <v>0</v>
      </c>
      <c r="F107" s="61">
        <v>4620000</v>
      </c>
      <c r="G107" s="61"/>
      <c r="H107" s="61">
        <f t="shared" si="28"/>
        <v>4620000</v>
      </c>
      <c r="I107" s="61">
        <f t="shared" si="29"/>
        <v>-643030</v>
      </c>
      <c r="J107" s="33"/>
    </row>
    <row r="108" spans="2:10" ht="20.25" customHeight="1">
      <c r="B108" s="59"/>
      <c r="C108" s="62" t="s">
        <v>34</v>
      </c>
      <c r="D108" s="61">
        <v>28054893</v>
      </c>
      <c r="E108" s="59">
        <v>0</v>
      </c>
      <c r="F108" s="61">
        <v>86277000</v>
      </c>
      <c r="G108" s="61"/>
      <c r="H108" s="61">
        <f t="shared" si="28"/>
        <v>86277000</v>
      </c>
      <c r="I108" s="61">
        <f t="shared" si="29"/>
        <v>-58222107</v>
      </c>
      <c r="J108" s="33"/>
    </row>
    <row r="109" spans="2:10" ht="20.25" customHeight="1">
      <c r="B109" s="59"/>
      <c r="C109" s="62" t="s">
        <v>10</v>
      </c>
      <c r="D109" s="61">
        <v>8927949</v>
      </c>
      <c r="E109" s="59">
        <v>0</v>
      </c>
      <c r="F109" s="61">
        <v>7220000</v>
      </c>
      <c r="G109" s="61"/>
      <c r="H109" s="61">
        <f t="shared" si="28"/>
        <v>7220000</v>
      </c>
      <c r="I109" s="61">
        <f t="shared" si="29"/>
        <v>1707949</v>
      </c>
      <c r="J109" s="33"/>
    </row>
    <row r="110" spans="2:10" s="6" customFormat="1" ht="20.25" customHeight="1">
      <c r="B110" s="69"/>
      <c r="C110" s="72" t="s">
        <v>35</v>
      </c>
      <c r="D110" s="73">
        <v>8994072</v>
      </c>
      <c r="E110" s="69">
        <v>0</v>
      </c>
      <c r="F110" s="73">
        <v>6317000</v>
      </c>
      <c r="G110" s="73"/>
      <c r="H110" s="73">
        <f t="shared" si="28"/>
        <v>6317000</v>
      </c>
      <c r="I110" s="73">
        <f t="shared" si="29"/>
        <v>2677072</v>
      </c>
      <c r="J110" s="37"/>
    </row>
    <row r="111" spans="2:10" ht="21" customHeight="1">
      <c r="B111" s="59"/>
      <c r="C111" s="87" t="s">
        <v>41</v>
      </c>
      <c r="D111" s="61">
        <v>50497224</v>
      </c>
      <c r="E111" s="59">
        <v>0</v>
      </c>
      <c r="F111" s="61">
        <v>0</v>
      </c>
      <c r="G111" s="61"/>
      <c r="H111" s="61">
        <f t="shared" si="28"/>
        <v>0</v>
      </c>
      <c r="I111" s="61">
        <f t="shared" si="29"/>
        <v>50497224</v>
      </c>
      <c r="J111" s="33"/>
    </row>
    <row r="112" spans="1:10" ht="20.25" customHeight="1">
      <c r="A112" s="6"/>
      <c r="B112" s="69"/>
      <c r="C112" s="70"/>
      <c r="D112" s="71"/>
      <c r="E112" s="71"/>
      <c r="F112" s="71"/>
      <c r="G112" s="71"/>
      <c r="H112" s="61">
        <f>E112+F112+G112</f>
        <v>0</v>
      </c>
      <c r="I112" s="71"/>
      <c r="J112" s="33"/>
    </row>
    <row r="113" spans="2:10" s="94" customFormat="1" ht="20.25" customHeight="1">
      <c r="B113" s="89" t="s">
        <v>73</v>
      </c>
      <c r="C113" s="96"/>
      <c r="D113" s="58">
        <f aca="true" t="shared" si="30" ref="D113:I113">SUM(D114:D118)</f>
        <v>44701337</v>
      </c>
      <c r="E113" s="58">
        <f t="shared" si="30"/>
        <v>0</v>
      </c>
      <c r="F113" s="58">
        <f t="shared" si="30"/>
        <v>53848000</v>
      </c>
      <c r="G113" s="58">
        <f t="shared" si="30"/>
        <v>0</v>
      </c>
      <c r="H113" s="58">
        <f t="shared" si="30"/>
        <v>53848000</v>
      </c>
      <c r="I113" s="58">
        <f t="shared" si="30"/>
        <v>-9146663</v>
      </c>
      <c r="J113" s="9"/>
    </row>
    <row r="114" spans="2:10" s="6" customFormat="1" ht="20.25" customHeight="1">
      <c r="B114" s="75" t="s">
        <v>66</v>
      </c>
      <c r="C114" s="62" t="s">
        <v>37</v>
      </c>
      <c r="D114" s="73">
        <v>7049710</v>
      </c>
      <c r="E114" s="71">
        <v>0</v>
      </c>
      <c r="F114" s="73">
        <v>8000000</v>
      </c>
      <c r="G114" s="73"/>
      <c r="H114" s="61">
        <f>E114+F114+G114</f>
        <v>8000000</v>
      </c>
      <c r="I114" s="61">
        <f>D114-H114</f>
        <v>-950290</v>
      </c>
      <c r="J114" s="37"/>
    </row>
    <row r="115" spans="2:10" s="6" customFormat="1" ht="19.5" customHeight="1">
      <c r="B115" s="85"/>
      <c r="C115" s="62" t="s">
        <v>33</v>
      </c>
      <c r="D115" s="73">
        <v>18303310</v>
      </c>
      <c r="E115" s="71"/>
      <c r="F115" s="73">
        <v>22000000</v>
      </c>
      <c r="G115" s="73"/>
      <c r="H115" s="61">
        <f>E115+F115+G115</f>
        <v>22000000</v>
      </c>
      <c r="I115" s="61">
        <f>D115-H115</f>
        <v>-3696690</v>
      </c>
      <c r="J115" s="37"/>
    </row>
    <row r="116" spans="2:10" s="6" customFormat="1" ht="19.5" customHeight="1">
      <c r="B116" s="85"/>
      <c r="C116" s="72" t="s">
        <v>34</v>
      </c>
      <c r="D116" s="73">
        <v>15609945</v>
      </c>
      <c r="E116" s="71"/>
      <c r="F116" s="73">
        <v>17200000</v>
      </c>
      <c r="G116" s="73"/>
      <c r="H116" s="61">
        <f>E116+F116+G116</f>
        <v>17200000</v>
      </c>
      <c r="I116" s="73">
        <f>D116-H116</f>
        <v>-1590055</v>
      </c>
      <c r="J116" s="37"/>
    </row>
    <row r="117" spans="2:10" s="6" customFormat="1" ht="19.5" customHeight="1">
      <c r="B117" s="85"/>
      <c r="C117" s="62" t="s">
        <v>10</v>
      </c>
      <c r="D117" s="61">
        <v>2094715</v>
      </c>
      <c r="E117" s="60"/>
      <c r="F117" s="61">
        <v>2170000</v>
      </c>
      <c r="G117" s="61"/>
      <c r="H117" s="61">
        <f>E117+F117+G117</f>
        <v>2170000</v>
      </c>
      <c r="I117" s="61">
        <f>D117-H117</f>
        <v>-75285</v>
      </c>
      <c r="J117" s="37"/>
    </row>
    <row r="118" spans="2:10" ht="19.5" customHeight="1">
      <c r="B118" s="57"/>
      <c r="C118" s="62" t="s">
        <v>35</v>
      </c>
      <c r="D118" s="61">
        <v>1643657</v>
      </c>
      <c r="E118" s="61"/>
      <c r="F118" s="61">
        <v>4478000</v>
      </c>
      <c r="G118" s="61"/>
      <c r="H118" s="61">
        <f>E118+F118+G118</f>
        <v>4478000</v>
      </c>
      <c r="I118" s="61">
        <f>D118-H118</f>
        <v>-2834343</v>
      </c>
      <c r="J118" s="33"/>
    </row>
    <row r="119" spans="2:10" ht="19.5" customHeight="1">
      <c r="B119" s="57"/>
      <c r="C119" s="57"/>
      <c r="D119" s="61"/>
      <c r="E119" s="61"/>
      <c r="F119" s="61"/>
      <c r="G119" s="61"/>
      <c r="H119" s="61"/>
      <c r="I119" s="61"/>
      <c r="J119" s="33"/>
    </row>
    <row r="120" spans="2:10" s="94" customFormat="1" ht="20.25" customHeight="1">
      <c r="B120" s="105" t="s">
        <v>74</v>
      </c>
      <c r="C120" s="96"/>
      <c r="D120" s="58">
        <f aca="true" t="shared" si="31" ref="D120:I120">SUM(D121:D127)</f>
        <v>1071848323</v>
      </c>
      <c r="E120" s="58">
        <f t="shared" si="31"/>
        <v>544563452</v>
      </c>
      <c r="F120" s="58">
        <f t="shared" si="31"/>
        <v>994135000</v>
      </c>
      <c r="G120" s="58">
        <f t="shared" si="31"/>
        <v>0</v>
      </c>
      <c r="H120" s="58">
        <f t="shared" si="31"/>
        <v>1538698452</v>
      </c>
      <c r="I120" s="58">
        <f t="shared" si="31"/>
        <v>-466850129</v>
      </c>
      <c r="J120" s="9"/>
    </row>
    <row r="121" spans="2:10" ht="20.25" customHeight="1">
      <c r="B121" s="59" t="s">
        <v>1</v>
      </c>
      <c r="C121" s="62" t="s">
        <v>37</v>
      </c>
      <c r="D121" s="61">
        <v>53446760</v>
      </c>
      <c r="E121" s="61">
        <v>194328000</v>
      </c>
      <c r="F121" s="61">
        <v>0</v>
      </c>
      <c r="G121" s="61">
        <v>0</v>
      </c>
      <c r="H121" s="61">
        <f aca="true" t="shared" si="32" ref="H121:H127">SUM(E121:G121)</f>
        <v>194328000</v>
      </c>
      <c r="I121" s="61">
        <f aca="true" t="shared" si="33" ref="I121:I127">D121-H121</f>
        <v>-140881240</v>
      </c>
      <c r="J121" s="33"/>
    </row>
    <row r="122" spans="2:10" ht="20.25" customHeight="1">
      <c r="B122" s="59"/>
      <c r="C122" s="62" t="s">
        <v>46</v>
      </c>
      <c r="D122" s="61">
        <v>49514176</v>
      </c>
      <c r="E122" s="61">
        <v>245614974</v>
      </c>
      <c r="F122" s="61">
        <v>253004000</v>
      </c>
      <c r="G122" s="61"/>
      <c r="H122" s="61">
        <f t="shared" si="32"/>
        <v>498618974</v>
      </c>
      <c r="I122" s="61">
        <f t="shared" si="33"/>
        <v>-449104798</v>
      </c>
      <c r="J122" s="33"/>
    </row>
    <row r="123" spans="2:10" ht="20.25" customHeight="1">
      <c r="B123" s="59"/>
      <c r="C123" s="62" t="s">
        <v>34</v>
      </c>
      <c r="D123" s="61">
        <v>503784343</v>
      </c>
      <c r="E123" s="61">
        <v>6846260</v>
      </c>
      <c r="F123" s="61">
        <v>521364000</v>
      </c>
      <c r="G123" s="61"/>
      <c r="H123" s="61">
        <f t="shared" si="32"/>
        <v>528210260</v>
      </c>
      <c r="I123" s="61">
        <f t="shared" si="33"/>
        <v>-24425917</v>
      </c>
      <c r="J123" s="33"/>
    </row>
    <row r="124" spans="2:10" ht="20.25" customHeight="1">
      <c r="B124" s="59"/>
      <c r="C124" s="62" t="s">
        <v>10</v>
      </c>
      <c r="D124" s="61">
        <v>51797145</v>
      </c>
      <c r="E124" s="61">
        <v>97774218</v>
      </c>
      <c r="F124" s="61">
        <v>66995000</v>
      </c>
      <c r="G124" s="61"/>
      <c r="H124" s="61">
        <f t="shared" si="32"/>
        <v>164769218</v>
      </c>
      <c r="I124" s="61">
        <f t="shared" si="33"/>
        <v>-112972073</v>
      </c>
      <c r="J124" s="33"/>
    </row>
    <row r="125" spans="2:10" ht="20.25" customHeight="1">
      <c r="B125" s="59"/>
      <c r="C125" s="62" t="s">
        <v>35</v>
      </c>
      <c r="D125" s="61">
        <v>42285815</v>
      </c>
      <c r="E125" s="61">
        <v>0</v>
      </c>
      <c r="F125" s="61">
        <v>44772000</v>
      </c>
      <c r="G125" s="61"/>
      <c r="H125" s="61">
        <f t="shared" si="32"/>
        <v>44772000</v>
      </c>
      <c r="I125" s="61">
        <f t="shared" si="33"/>
        <v>-2486185</v>
      </c>
      <c r="J125" s="33"/>
    </row>
    <row r="126" spans="2:10" ht="20.25" customHeight="1">
      <c r="B126" s="59"/>
      <c r="C126" s="62" t="s">
        <v>17</v>
      </c>
      <c r="D126" s="61">
        <v>71652160</v>
      </c>
      <c r="E126" s="61">
        <v>0</v>
      </c>
      <c r="F126" s="61">
        <v>108000000</v>
      </c>
      <c r="G126" s="61">
        <v>0</v>
      </c>
      <c r="H126" s="61">
        <f t="shared" si="32"/>
        <v>108000000</v>
      </c>
      <c r="I126" s="61">
        <f t="shared" si="33"/>
        <v>-36347840</v>
      </c>
      <c r="J126" s="33"/>
    </row>
    <row r="127" spans="2:10" s="6" customFormat="1" ht="21" customHeight="1">
      <c r="B127" s="69"/>
      <c r="C127" s="88" t="s">
        <v>41</v>
      </c>
      <c r="D127" s="73">
        <v>299367924</v>
      </c>
      <c r="E127" s="73">
        <v>0</v>
      </c>
      <c r="F127" s="73">
        <v>0</v>
      </c>
      <c r="G127" s="73"/>
      <c r="H127" s="73">
        <f t="shared" si="32"/>
        <v>0</v>
      </c>
      <c r="I127" s="73">
        <f t="shared" si="33"/>
        <v>299367924</v>
      </c>
      <c r="J127" s="37"/>
    </row>
    <row r="128" spans="2:10" ht="19.5" customHeight="1">
      <c r="B128" s="57"/>
      <c r="C128" s="57"/>
      <c r="D128" s="61"/>
      <c r="E128" s="61"/>
      <c r="F128" s="61"/>
      <c r="G128" s="61"/>
      <c r="H128" s="61"/>
      <c r="I128" s="61"/>
      <c r="J128" s="33"/>
    </row>
    <row r="129" spans="2:10" s="94" customFormat="1" ht="20.25" customHeight="1">
      <c r="B129" s="64" t="s">
        <v>92</v>
      </c>
      <c r="C129" s="96"/>
      <c r="D129" s="58">
        <f>SUM(D130:D136)</f>
        <v>792343343.01</v>
      </c>
      <c r="E129" s="58">
        <f>SUM(E130:E136)</f>
        <v>24852000</v>
      </c>
      <c r="F129" s="58">
        <f>SUM(F130:F136)</f>
        <v>786356000</v>
      </c>
      <c r="G129" s="58">
        <f>SUM(G130:G136)</f>
        <v>76000000</v>
      </c>
      <c r="H129" s="58">
        <f>SUM(H130:H136)</f>
        <v>887208000</v>
      </c>
      <c r="I129" s="58">
        <f aca="true" t="shared" si="34" ref="I129:I136">D129-H129</f>
        <v>-94864656.99000001</v>
      </c>
      <c r="J129" s="9"/>
    </row>
    <row r="130" spans="2:10" ht="20.25" customHeight="1">
      <c r="B130" s="59"/>
      <c r="C130" s="62" t="s">
        <v>37</v>
      </c>
      <c r="D130" s="61">
        <v>79606218.6</v>
      </c>
      <c r="E130" s="61">
        <v>0</v>
      </c>
      <c r="F130" s="61">
        <v>5000000</v>
      </c>
      <c r="G130" s="61">
        <v>76000000</v>
      </c>
      <c r="H130" s="61">
        <f aca="true" t="shared" si="35" ref="H130:H136">SUM(E130:G130)</f>
        <v>81000000</v>
      </c>
      <c r="I130" s="61">
        <f t="shared" si="34"/>
        <v>-1393781.400000006</v>
      </c>
      <c r="J130" s="33"/>
    </row>
    <row r="131" spans="2:10" s="6" customFormat="1" ht="20.25" customHeight="1">
      <c r="B131" s="69"/>
      <c r="C131" s="72" t="s">
        <v>47</v>
      </c>
      <c r="D131" s="73">
        <v>4689493</v>
      </c>
      <c r="E131" s="73">
        <v>0</v>
      </c>
      <c r="F131" s="73">
        <v>6000000</v>
      </c>
      <c r="G131" s="73"/>
      <c r="H131" s="73">
        <f t="shared" si="35"/>
        <v>6000000</v>
      </c>
      <c r="I131" s="73">
        <f t="shared" si="34"/>
        <v>-1310507</v>
      </c>
      <c r="J131" s="37"/>
    </row>
    <row r="132" spans="2:10" s="6" customFormat="1" ht="20.25" customHeight="1">
      <c r="B132" s="69"/>
      <c r="C132" s="72" t="s">
        <v>33</v>
      </c>
      <c r="D132" s="73">
        <v>182713304</v>
      </c>
      <c r="E132" s="73">
        <v>0</v>
      </c>
      <c r="F132" s="73">
        <v>222570000</v>
      </c>
      <c r="G132" s="73"/>
      <c r="H132" s="73">
        <f t="shared" si="35"/>
        <v>222570000</v>
      </c>
      <c r="I132" s="73">
        <f t="shared" si="34"/>
        <v>-39856696</v>
      </c>
      <c r="J132" s="37"/>
    </row>
    <row r="133" spans="2:10" ht="20.25" customHeight="1">
      <c r="B133" s="59"/>
      <c r="C133" s="62" t="s">
        <v>34</v>
      </c>
      <c r="D133" s="61">
        <v>238073133</v>
      </c>
      <c r="E133" s="61">
        <v>8160000</v>
      </c>
      <c r="F133" s="61">
        <v>248996000</v>
      </c>
      <c r="G133" s="61"/>
      <c r="H133" s="61">
        <f t="shared" si="35"/>
        <v>257156000</v>
      </c>
      <c r="I133" s="61">
        <f t="shared" si="34"/>
        <v>-19082867</v>
      </c>
      <c r="J133" s="33"/>
    </row>
    <row r="134" spans="2:10" ht="20.25" customHeight="1">
      <c r="B134" s="59"/>
      <c r="C134" s="62" t="s">
        <v>10</v>
      </c>
      <c r="D134" s="61">
        <v>59706288</v>
      </c>
      <c r="E134" s="61">
        <v>0</v>
      </c>
      <c r="F134" s="61">
        <v>59761000</v>
      </c>
      <c r="G134" s="61"/>
      <c r="H134" s="61">
        <f t="shared" si="35"/>
        <v>59761000</v>
      </c>
      <c r="I134" s="61">
        <f t="shared" si="34"/>
        <v>-54712</v>
      </c>
      <c r="J134" s="33"/>
    </row>
    <row r="135" spans="2:10" ht="20.25" customHeight="1">
      <c r="B135" s="59"/>
      <c r="C135" s="62" t="s">
        <v>35</v>
      </c>
      <c r="D135" s="61">
        <v>146412781</v>
      </c>
      <c r="E135" s="61">
        <v>16692000</v>
      </c>
      <c r="F135" s="61">
        <v>141829000</v>
      </c>
      <c r="G135" s="61"/>
      <c r="H135" s="61">
        <f t="shared" si="35"/>
        <v>158521000</v>
      </c>
      <c r="I135" s="61">
        <f t="shared" si="34"/>
        <v>-12108219</v>
      </c>
      <c r="J135" s="33"/>
    </row>
    <row r="136" spans="2:10" ht="20.25" customHeight="1">
      <c r="B136" s="59"/>
      <c r="C136" s="62" t="s">
        <v>17</v>
      </c>
      <c r="D136" s="61">
        <v>81142125.41</v>
      </c>
      <c r="E136" s="61"/>
      <c r="F136" s="61">
        <v>102200000</v>
      </c>
      <c r="G136" s="61">
        <v>0</v>
      </c>
      <c r="H136" s="61">
        <f t="shared" si="35"/>
        <v>102200000</v>
      </c>
      <c r="I136" s="61">
        <f t="shared" si="34"/>
        <v>-21057874.590000004</v>
      </c>
      <c r="J136" s="33"/>
    </row>
    <row r="137" spans="2:10" ht="19.5" customHeight="1">
      <c r="B137" s="57"/>
      <c r="C137" s="57"/>
      <c r="D137" s="61"/>
      <c r="E137" s="61"/>
      <c r="F137" s="61"/>
      <c r="G137" s="61"/>
      <c r="H137" s="61"/>
      <c r="I137" s="61"/>
      <c r="J137" s="33"/>
    </row>
    <row r="138" spans="2:10" s="94" customFormat="1" ht="20.25" customHeight="1">
      <c r="B138" s="64" t="s">
        <v>93</v>
      </c>
      <c r="C138" s="96"/>
      <c r="D138" s="58">
        <f>SUM(D139:D143)</f>
        <v>455153580.38</v>
      </c>
      <c r="E138" s="58">
        <f>SUM(E139:E143)</f>
        <v>65583894</v>
      </c>
      <c r="F138" s="58">
        <f>SUM(F139:F143)</f>
        <v>775019000</v>
      </c>
      <c r="G138" s="58">
        <f>SUM(G139:G143)</f>
        <v>0</v>
      </c>
      <c r="H138" s="58">
        <f>SUM(H139:H143)</f>
        <v>840602894</v>
      </c>
      <c r="I138" s="58">
        <f aca="true" t="shared" si="36" ref="I138:I143">D138-H138</f>
        <v>-385449313.62</v>
      </c>
      <c r="J138" s="9"/>
    </row>
    <row r="139" spans="2:10" s="29" customFormat="1" ht="20.25" customHeight="1">
      <c r="B139" s="106" t="s">
        <v>94</v>
      </c>
      <c r="C139" s="62" t="s">
        <v>33</v>
      </c>
      <c r="D139" s="61">
        <f>24431619+71135511</f>
        <v>95567130</v>
      </c>
      <c r="E139" s="61">
        <f>26985572</f>
        <v>26985572</v>
      </c>
      <c r="F139" s="61">
        <v>25000000</v>
      </c>
      <c r="G139" s="61"/>
      <c r="H139" s="61">
        <f>SUM(E139:G139)</f>
        <v>51985572</v>
      </c>
      <c r="I139" s="61">
        <f t="shared" si="36"/>
        <v>43581558</v>
      </c>
      <c r="J139" s="33"/>
    </row>
    <row r="140" spans="2:10" s="6" customFormat="1" ht="20.25" customHeight="1">
      <c r="B140" s="69"/>
      <c r="C140" s="72" t="s">
        <v>34</v>
      </c>
      <c r="D140" s="73">
        <v>256096363.26</v>
      </c>
      <c r="E140" s="73">
        <v>38598322</v>
      </c>
      <c r="F140" s="73">
        <v>604306000</v>
      </c>
      <c r="G140" s="73"/>
      <c r="H140" s="73">
        <f>SUM(E140:G140)</f>
        <v>642904322</v>
      </c>
      <c r="I140" s="73">
        <f t="shared" si="36"/>
        <v>-386807958.74</v>
      </c>
      <c r="J140" s="37"/>
    </row>
    <row r="141" spans="2:10" s="31" customFormat="1" ht="20.25" customHeight="1" thickBot="1">
      <c r="B141" s="82"/>
      <c r="C141" s="81" t="s">
        <v>10</v>
      </c>
      <c r="D141" s="83">
        <v>39480777.76</v>
      </c>
      <c r="E141" s="83">
        <v>0</v>
      </c>
      <c r="F141" s="83">
        <v>54549000</v>
      </c>
      <c r="G141" s="83"/>
      <c r="H141" s="83">
        <f>SUM(E141:G141)</f>
        <v>54549000</v>
      </c>
      <c r="I141" s="83">
        <f t="shared" si="36"/>
        <v>-15068222.240000002</v>
      </c>
      <c r="J141" s="36"/>
    </row>
    <row r="142" spans="2:10" ht="20.25" customHeight="1">
      <c r="B142" s="59"/>
      <c r="C142" s="62" t="s">
        <v>35</v>
      </c>
      <c r="D142" s="61">
        <v>42389699.5</v>
      </c>
      <c r="E142" s="61">
        <v>0</v>
      </c>
      <c r="F142" s="61">
        <v>74564000</v>
      </c>
      <c r="G142" s="61"/>
      <c r="H142" s="61">
        <f>SUM(E142:G142)</f>
        <v>74564000</v>
      </c>
      <c r="I142" s="61">
        <f t="shared" si="36"/>
        <v>-32174300.5</v>
      </c>
      <c r="J142" s="33"/>
    </row>
    <row r="143" spans="2:10" ht="20.25" customHeight="1">
      <c r="B143" s="59"/>
      <c r="C143" s="62" t="s">
        <v>17</v>
      </c>
      <c r="D143" s="61">
        <v>21619609.86</v>
      </c>
      <c r="E143" s="61">
        <v>0</v>
      </c>
      <c r="F143" s="61">
        <v>16600000</v>
      </c>
      <c r="G143" s="61">
        <v>0</v>
      </c>
      <c r="H143" s="61">
        <f>SUM(E143:G143)</f>
        <v>16600000</v>
      </c>
      <c r="I143" s="61">
        <f t="shared" si="36"/>
        <v>5019609.859999999</v>
      </c>
      <c r="J143" s="33"/>
    </row>
    <row r="144" spans="2:10" ht="19.5" customHeight="1">
      <c r="B144" s="57"/>
      <c r="C144" s="57"/>
      <c r="D144" s="61"/>
      <c r="E144" s="61"/>
      <c r="F144" s="61"/>
      <c r="G144" s="61"/>
      <c r="H144" s="61"/>
      <c r="I144" s="61"/>
      <c r="J144" s="33"/>
    </row>
    <row r="145" spans="2:10" s="94" customFormat="1" ht="20.25" customHeight="1">
      <c r="B145" s="101" t="s">
        <v>75</v>
      </c>
      <c r="C145" s="96"/>
      <c r="D145" s="58">
        <f>SUM(D146:D150)</f>
        <v>11569448</v>
      </c>
      <c r="E145" s="58">
        <f>SUM(E146:E150)</f>
        <v>306754000</v>
      </c>
      <c r="F145" s="58">
        <f>SUM(F146:F150)</f>
        <v>5446000</v>
      </c>
      <c r="G145" s="58">
        <f>SUM(G146:G150)</f>
        <v>0</v>
      </c>
      <c r="H145" s="58">
        <f>SUM(H146:H150)</f>
        <v>312200000</v>
      </c>
      <c r="I145" s="58">
        <f aca="true" t="shared" si="37" ref="I145:I150">D145-H145</f>
        <v>-300630552</v>
      </c>
      <c r="J145" s="9"/>
    </row>
    <row r="146" spans="2:10" ht="20.25" customHeight="1">
      <c r="B146" s="59"/>
      <c r="C146" s="62" t="s">
        <v>37</v>
      </c>
      <c r="D146" s="61">
        <v>0</v>
      </c>
      <c r="E146" s="61">
        <v>200000000</v>
      </c>
      <c r="F146" s="61">
        <v>0</v>
      </c>
      <c r="G146" s="61"/>
      <c r="H146" s="61">
        <f>SUM(E146:G146)</f>
        <v>200000000</v>
      </c>
      <c r="I146" s="61">
        <f t="shared" si="37"/>
        <v>-200000000</v>
      </c>
      <c r="J146" s="33"/>
    </row>
    <row r="147" spans="2:10" ht="20.25" customHeight="1">
      <c r="B147" s="59"/>
      <c r="C147" s="62" t="s">
        <v>33</v>
      </c>
      <c r="D147" s="61">
        <v>91429</v>
      </c>
      <c r="E147" s="61">
        <f>100000000+91500</f>
        <v>100091500</v>
      </c>
      <c r="F147" s="61">
        <v>0</v>
      </c>
      <c r="G147" s="61"/>
      <c r="H147" s="61">
        <f>SUM(E147:G147)</f>
        <v>100091500</v>
      </c>
      <c r="I147" s="61">
        <f t="shared" si="37"/>
        <v>-100000071</v>
      </c>
      <c r="J147" s="33"/>
    </row>
    <row r="148" spans="2:10" s="6" customFormat="1" ht="21" customHeight="1">
      <c r="B148" s="69"/>
      <c r="C148" s="72" t="s">
        <v>34</v>
      </c>
      <c r="D148" s="73">
        <v>10770357</v>
      </c>
      <c r="E148" s="73">
        <v>6505000</v>
      </c>
      <c r="F148" s="73">
        <v>4893000</v>
      </c>
      <c r="G148" s="73"/>
      <c r="H148" s="73">
        <f>SUM(E148:G148)</f>
        <v>11398000</v>
      </c>
      <c r="I148" s="73">
        <f t="shared" si="37"/>
        <v>-627643</v>
      </c>
      <c r="J148" s="37"/>
    </row>
    <row r="149" spans="2:10" s="6" customFormat="1" ht="20.25" customHeight="1">
      <c r="B149" s="69"/>
      <c r="C149" s="72" t="s">
        <v>10</v>
      </c>
      <c r="D149" s="73">
        <v>93333</v>
      </c>
      <c r="E149" s="73">
        <v>0</v>
      </c>
      <c r="F149" s="73">
        <v>94000</v>
      </c>
      <c r="G149" s="73"/>
      <c r="H149" s="73">
        <f>SUM(E149:G149)</f>
        <v>94000</v>
      </c>
      <c r="I149" s="73">
        <f t="shared" si="37"/>
        <v>-667</v>
      </c>
      <c r="J149" s="37"/>
    </row>
    <row r="150" spans="2:10" s="6" customFormat="1" ht="20.25" customHeight="1">
      <c r="B150" s="69"/>
      <c r="C150" s="72" t="s">
        <v>35</v>
      </c>
      <c r="D150" s="73">
        <v>614329</v>
      </c>
      <c r="E150" s="73">
        <v>157500</v>
      </c>
      <c r="F150" s="73">
        <v>459000</v>
      </c>
      <c r="G150" s="73"/>
      <c r="H150" s="73">
        <f>SUM(E150:G150)</f>
        <v>616500</v>
      </c>
      <c r="I150" s="73">
        <f t="shared" si="37"/>
        <v>-2171</v>
      </c>
      <c r="J150" s="37"/>
    </row>
    <row r="151" spans="2:10" ht="20.25" customHeight="1">
      <c r="B151" s="59"/>
      <c r="C151" s="57"/>
      <c r="D151" s="61"/>
      <c r="E151" s="61"/>
      <c r="F151" s="61"/>
      <c r="G151" s="61"/>
      <c r="H151" s="61"/>
      <c r="I151" s="61"/>
      <c r="J151" s="33"/>
    </row>
    <row r="152" spans="2:10" s="94" customFormat="1" ht="20.25" customHeight="1">
      <c r="B152" s="101" t="s">
        <v>76</v>
      </c>
      <c r="C152" s="96"/>
      <c r="D152" s="58">
        <f>SUM(D153:D158)</f>
        <v>1895866733</v>
      </c>
      <c r="E152" s="58">
        <f>SUM(E153:E158)</f>
        <v>1149587989</v>
      </c>
      <c r="F152" s="58">
        <f>SUM(F153:F158)</f>
        <v>1544609000</v>
      </c>
      <c r="G152" s="58">
        <f>SUM(G153:G158)</f>
        <v>0</v>
      </c>
      <c r="H152" s="58">
        <f>SUM(H153:H158)</f>
        <v>2694196989</v>
      </c>
      <c r="I152" s="58">
        <f aca="true" t="shared" si="38" ref="I152:I158">D152-H152</f>
        <v>-798330256</v>
      </c>
      <c r="J152" s="9"/>
    </row>
    <row r="153" spans="2:10" s="94" customFormat="1" ht="20.25" customHeight="1">
      <c r="B153" s="97" t="s">
        <v>68</v>
      </c>
      <c r="C153" s="62" t="s">
        <v>37</v>
      </c>
      <c r="D153" s="58">
        <v>0</v>
      </c>
      <c r="E153" s="58">
        <v>0</v>
      </c>
      <c r="F153" s="61">
        <v>71117000</v>
      </c>
      <c r="G153" s="61"/>
      <c r="H153" s="61">
        <f aca="true" t="shared" si="39" ref="H153:H158">SUM(E153:G153)</f>
        <v>71117000</v>
      </c>
      <c r="I153" s="61">
        <f t="shared" si="38"/>
        <v>-71117000</v>
      </c>
      <c r="J153" s="9"/>
    </row>
    <row r="154" spans="2:10" ht="20.25" customHeight="1">
      <c r="B154" s="59"/>
      <c r="C154" s="62" t="s">
        <v>47</v>
      </c>
      <c r="D154" s="61">
        <v>3392560</v>
      </c>
      <c r="E154" s="61">
        <v>1931747</v>
      </c>
      <c r="F154" s="61">
        <v>6548000</v>
      </c>
      <c r="G154" s="61"/>
      <c r="H154" s="61">
        <f t="shared" si="39"/>
        <v>8479747</v>
      </c>
      <c r="I154" s="61">
        <f t="shared" si="38"/>
        <v>-5087187</v>
      </c>
      <c r="J154" s="33"/>
    </row>
    <row r="155" spans="2:10" ht="20.25" customHeight="1">
      <c r="B155" s="59"/>
      <c r="C155" s="62" t="s">
        <v>33</v>
      </c>
      <c r="D155" s="61">
        <v>173162703</v>
      </c>
      <c r="E155" s="61">
        <v>57322386</v>
      </c>
      <c r="F155" s="61">
        <v>243699000</v>
      </c>
      <c r="G155" s="61"/>
      <c r="H155" s="61">
        <f t="shared" si="39"/>
        <v>301021386</v>
      </c>
      <c r="I155" s="61">
        <f t="shared" si="38"/>
        <v>-127858683</v>
      </c>
      <c r="J155" s="33"/>
    </row>
    <row r="156" spans="2:10" ht="20.25" customHeight="1">
      <c r="B156" s="59"/>
      <c r="C156" s="62" t="s">
        <v>34</v>
      </c>
      <c r="D156" s="61">
        <f>151344025+1537186184</f>
        <v>1688530209</v>
      </c>
      <c r="E156" s="61">
        <f>151344025+910528498</f>
        <v>1061872523</v>
      </c>
      <c r="F156" s="61">
        <v>1179827000</v>
      </c>
      <c r="G156" s="61"/>
      <c r="H156" s="61">
        <f t="shared" si="39"/>
        <v>2241699523</v>
      </c>
      <c r="I156" s="61">
        <f t="shared" si="38"/>
        <v>-553169314</v>
      </c>
      <c r="J156" s="33"/>
    </row>
    <row r="157" spans="2:10" ht="20.25" customHeight="1">
      <c r="B157" s="59"/>
      <c r="C157" s="62" t="s">
        <v>10</v>
      </c>
      <c r="D157" s="61">
        <v>5280631</v>
      </c>
      <c r="E157" s="61">
        <v>22758414</v>
      </c>
      <c r="F157" s="61">
        <v>25472000</v>
      </c>
      <c r="G157" s="61"/>
      <c r="H157" s="61">
        <f t="shared" si="39"/>
        <v>48230414</v>
      </c>
      <c r="I157" s="61">
        <f t="shared" si="38"/>
        <v>-42949783</v>
      </c>
      <c r="J157" s="33"/>
    </row>
    <row r="158" spans="2:10" ht="20.25" customHeight="1">
      <c r="B158" s="59"/>
      <c r="C158" s="62" t="s">
        <v>35</v>
      </c>
      <c r="D158" s="61">
        <v>25500630</v>
      </c>
      <c r="E158" s="61">
        <v>5702919</v>
      </c>
      <c r="F158" s="61">
        <v>17946000</v>
      </c>
      <c r="G158" s="61"/>
      <c r="H158" s="61">
        <f t="shared" si="39"/>
        <v>23648919</v>
      </c>
      <c r="I158" s="61">
        <f t="shared" si="38"/>
        <v>1851711</v>
      </c>
      <c r="J158" s="33"/>
    </row>
    <row r="159" spans="2:10" ht="20.25" customHeight="1">
      <c r="B159" s="59"/>
      <c r="C159" s="57"/>
      <c r="D159" s="61"/>
      <c r="E159" s="61"/>
      <c r="F159" s="61"/>
      <c r="G159" s="61"/>
      <c r="H159" s="61"/>
      <c r="I159" s="61"/>
      <c r="J159" s="33"/>
    </row>
    <row r="160" spans="2:10" ht="19.5" customHeight="1">
      <c r="B160" s="56" t="s">
        <v>48</v>
      </c>
      <c r="C160" s="57" t="s">
        <v>1</v>
      </c>
      <c r="D160" s="58">
        <f aca="true" t="shared" si="40" ref="D160:I160">D162</f>
        <v>1679715</v>
      </c>
      <c r="E160" s="58">
        <f t="shared" si="40"/>
        <v>1470000</v>
      </c>
      <c r="F160" s="58">
        <f t="shared" si="40"/>
        <v>940000</v>
      </c>
      <c r="G160" s="58">
        <f t="shared" si="40"/>
        <v>0</v>
      </c>
      <c r="H160" s="58">
        <f t="shared" si="40"/>
        <v>2410000</v>
      </c>
      <c r="I160" s="58">
        <f t="shared" si="40"/>
        <v>-730285</v>
      </c>
      <c r="J160" s="9"/>
    </row>
    <row r="161" spans="2:10" ht="19.5" customHeight="1">
      <c r="B161" s="89"/>
      <c r="C161" s="57"/>
      <c r="D161" s="58"/>
      <c r="E161" s="58"/>
      <c r="F161" s="58"/>
      <c r="G161" s="58"/>
      <c r="H161" s="58"/>
      <c r="I161" s="58"/>
      <c r="J161" s="9"/>
    </row>
    <row r="162" spans="2:10" s="94" customFormat="1" ht="22.5" customHeight="1">
      <c r="B162" s="64" t="s">
        <v>77</v>
      </c>
      <c r="C162" s="96"/>
      <c r="D162" s="58">
        <f aca="true" t="shared" si="41" ref="D162:I162">SUM(D163:D164)</f>
        <v>1679715</v>
      </c>
      <c r="E162" s="58">
        <f t="shared" si="41"/>
        <v>1470000</v>
      </c>
      <c r="F162" s="58">
        <f t="shared" si="41"/>
        <v>940000</v>
      </c>
      <c r="G162" s="58">
        <f t="shared" si="41"/>
        <v>0</v>
      </c>
      <c r="H162" s="58">
        <f t="shared" si="41"/>
        <v>2410000</v>
      </c>
      <c r="I162" s="58">
        <f t="shared" si="41"/>
        <v>-730285</v>
      </c>
      <c r="J162" s="9"/>
    </row>
    <row r="163" spans="2:10" ht="19.5" customHeight="1">
      <c r="B163" s="59"/>
      <c r="C163" s="62" t="s">
        <v>33</v>
      </c>
      <c r="D163" s="61">
        <v>1394000</v>
      </c>
      <c r="E163" s="61">
        <v>1470000</v>
      </c>
      <c r="F163" s="61">
        <v>0</v>
      </c>
      <c r="G163" s="61"/>
      <c r="H163" s="61">
        <f>SUM(E163:G163)</f>
        <v>1470000</v>
      </c>
      <c r="I163" s="61">
        <f>D163-H163</f>
        <v>-76000</v>
      </c>
      <c r="J163" s="33"/>
    </row>
    <row r="164" spans="2:10" ht="19.5" customHeight="1">
      <c r="B164" s="59"/>
      <c r="C164" s="62" t="s">
        <v>34</v>
      </c>
      <c r="D164" s="61">
        <v>285715</v>
      </c>
      <c r="E164" s="61">
        <v>0</v>
      </c>
      <c r="F164" s="61">
        <v>940000</v>
      </c>
      <c r="G164" s="61"/>
      <c r="H164" s="61">
        <f>SUM(E164:G164)</f>
        <v>940000</v>
      </c>
      <c r="I164" s="61">
        <f>D164-H164</f>
        <v>-654285</v>
      </c>
      <c r="J164" s="33"/>
    </row>
    <row r="165" spans="2:10" ht="19.5" customHeight="1">
      <c r="B165" s="59"/>
      <c r="C165" s="67"/>
      <c r="D165" s="60"/>
      <c r="E165" s="60"/>
      <c r="F165" s="60"/>
      <c r="G165" s="60"/>
      <c r="H165" s="61">
        <f>E165+F165+G165</f>
        <v>0</v>
      </c>
      <c r="I165" s="61">
        <f>D165-H165</f>
        <v>0</v>
      </c>
      <c r="J165" s="33"/>
    </row>
    <row r="166" spans="2:10" ht="19.5" customHeight="1">
      <c r="B166" s="56" t="s">
        <v>49</v>
      </c>
      <c r="C166" s="57" t="s">
        <v>1</v>
      </c>
      <c r="D166" s="58">
        <f aca="true" t="shared" si="42" ref="D166:I166">D168+D175+D184+D192+D200+D209+D218</f>
        <v>68499003636.45</v>
      </c>
      <c r="E166" s="58">
        <f t="shared" si="42"/>
        <v>21144626698.04</v>
      </c>
      <c r="F166" s="58">
        <f t="shared" si="42"/>
        <v>62153023000</v>
      </c>
      <c r="G166" s="58">
        <f t="shared" si="42"/>
        <v>406419185</v>
      </c>
      <c r="H166" s="58">
        <f t="shared" si="42"/>
        <v>83704068883.04</v>
      </c>
      <c r="I166" s="58">
        <f t="shared" si="42"/>
        <v>-15205065246.590002</v>
      </c>
      <c r="J166" s="9"/>
    </row>
    <row r="167" spans="2:9" ht="19.5" customHeight="1">
      <c r="B167" s="57"/>
      <c r="C167" s="57"/>
      <c r="D167" s="61"/>
      <c r="E167" s="61"/>
      <c r="F167" s="61"/>
      <c r="G167" s="61"/>
      <c r="H167" s="61"/>
      <c r="I167" s="61"/>
    </row>
    <row r="168" spans="2:10" s="94" customFormat="1" ht="19.5" customHeight="1">
      <c r="B168" s="89" t="s">
        <v>78</v>
      </c>
      <c r="C168" s="96"/>
      <c r="D168" s="58">
        <f aca="true" t="shared" si="43" ref="D168:I168">SUM(D169:D173)</f>
        <v>3742017577</v>
      </c>
      <c r="E168" s="58">
        <f t="shared" si="43"/>
        <v>59746033</v>
      </c>
      <c r="F168" s="58">
        <f t="shared" si="43"/>
        <v>3833882000</v>
      </c>
      <c r="G168" s="58">
        <f t="shared" si="43"/>
        <v>0</v>
      </c>
      <c r="H168" s="58">
        <f t="shared" si="43"/>
        <v>3893628033</v>
      </c>
      <c r="I168" s="58">
        <f t="shared" si="43"/>
        <v>-151610456</v>
      </c>
      <c r="J168" s="9"/>
    </row>
    <row r="169" spans="2:10" ht="19.5" customHeight="1">
      <c r="B169" s="59"/>
      <c r="C169" s="62" t="s">
        <v>37</v>
      </c>
      <c r="D169" s="61">
        <v>384636658</v>
      </c>
      <c r="E169" s="61">
        <v>0</v>
      </c>
      <c r="F169" s="61">
        <v>315187000</v>
      </c>
      <c r="G169" s="61"/>
      <c r="H169" s="61">
        <f>E169+F169+G169</f>
        <v>315187000</v>
      </c>
      <c r="I169" s="61">
        <f>D169-H169</f>
        <v>69449658</v>
      </c>
      <c r="J169" s="33"/>
    </row>
    <row r="170" spans="2:10" ht="19.5" customHeight="1">
      <c r="B170" s="59"/>
      <c r="C170" s="62" t="s">
        <v>33</v>
      </c>
      <c r="D170" s="61">
        <v>1300471158</v>
      </c>
      <c r="E170" s="61">
        <v>12094482</v>
      </c>
      <c r="F170" s="61">
        <v>1453833000</v>
      </c>
      <c r="G170" s="61"/>
      <c r="H170" s="61">
        <f>E170+F170+G170</f>
        <v>1465927482</v>
      </c>
      <c r="I170" s="61">
        <f>D170-H170</f>
        <v>-165456324</v>
      </c>
      <c r="J170" s="33"/>
    </row>
    <row r="171" spans="2:10" ht="19.5" customHeight="1">
      <c r="B171" s="59"/>
      <c r="C171" s="62" t="s">
        <v>34</v>
      </c>
      <c r="D171" s="61">
        <v>1414042845</v>
      </c>
      <c r="E171" s="61">
        <v>38963565</v>
      </c>
      <c r="F171" s="61">
        <v>1383829000</v>
      </c>
      <c r="G171" s="61"/>
      <c r="H171" s="61">
        <f>E171+F171+G171</f>
        <v>1422792565</v>
      </c>
      <c r="I171" s="61">
        <f>D171-H171</f>
        <v>-8749720</v>
      </c>
      <c r="J171" s="33"/>
    </row>
    <row r="172" spans="2:10" ht="19.5" customHeight="1">
      <c r="B172" s="59"/>
      <c r="C172" s="62" t="s">
        <v>10</v>
      </c>
      <c r="D172" s="61">
        <v>230665253</v>
      </c>
      <c r="E172" s="61">
        <v>8195000</v>
      </c>
      <c r="F172" s="61">
        <v>295058000</v>
      </c>
      <c r="G172" s="61"/>
      <c r="H172" s="61">
        <f>E172+F172+G172</f>
        <v>303253000</v>
      </c>
      <c r="I172" s="61">
        <f>D172-H172</f>
        <v>-72587747</v>
      </c>
      <c r="J172" s="33"/>
    </row>
    <row r="173" spans="2:10" ht="19.5" customHeight="1">
      <c r="B173" s="59"/>
      <c r="C173" s="62" t="s">
        <v>35</v>
      </c>
      <c r="D173" s="61">
        <v>412201663</v>
      </c>
      <c r="E173" s="61">
        <v>492986</v>
      </c>
      <c r="F173" s="61">
        <v>385975000</v>
      </c>
      <c r="G173" s="61"/>
      <c r="H173" s="61">
        <f>E173+F173+G173</f>
        <v>386467986</v>
      </c>
      <c r="I173" s="61">
        <f>D173-H173</f>
        <v>25733677</v>
      </c>
      <c r="J173" s="33"/>
    </row>
    <row r="174" spans="2:10" ht="19.5" customHeight="1">
      <c r="B174" s="59"/>
      <c r="C174" s="67"/>
      <c r="D174" s="60"/>
      <c r="E174" s="60"/>
      <c r="F174" s="60"/>
      <c r="G174" s="60"/>
      <c r="H174" s="60"/>
      <c r="I174" s="60"/>
      <c r="J174" s="33"/>
    </row>
    <row r="175" spans="2:10" s="98" customFormat="1" ht="19.5" customHeight="1">
      <c r="B175" s="102" t="s">
        <v>79</v>
      </c>
      <c r="C175" s="99"/>
      <c r="D175" s="86">
        <f aca="true" t="shared" si="44" ref="D175:I175">SUM(D176:D182)</f>
        <v>42896362049.2</v>
      </c>
      <c r="E175" s="86">
        <f t="shared" si="44"/>
        <v>577769327</v>
      </c>
      <c r="F175" s="86">
        <f t="shared" si="44"/>
        <v>47074444000</v>
      </c>
      <c r="G175" s="86">
        <f t="shared" si="44"/>
        <v>0</v>
      </c>
      <c r="H175" s="86">
        <f t="shared" si="44"/>
        <v>47652213327</v>
      </c>
      <c r="I175" s="86">
        <f t="shared" si="44"/>
        <v>-4755851277.8</v>
      </c>
      <c r="J175" s="44"/>
    </row>
    <row r="176" spans="2:10" ht="19.5" customHeight="1">
      <c r="B176" s="96" t="s">
        <v>60</v>
      </c>
      <c r="C176" s="62" t="s">
        <v>37</v>
      </c>
      <c r="D176" s="61">
        <v>489882514</v>
      </c>
      <c r="E176" s="61">
        <v>0</v>
      </c>
      <c r="F176" s="61">
        <v>966730000</v>
      </c>
      <c r="G176" s="61">
        <v>0</v>
      </c>
      <c r="H176" s="61">
        <f aca="true" t="shared" si="45" ref="H176:H181">E176+F176+G176</f>
        <v>966730000</v>
      </c>
      <c r="I176" s="61">
        <f aca="true" t="shared" si="46" ref="I176:I182">D176-H176</f>
        <v>-476847486</v>
      </c>
      <c r="J176" s="33"/>
    </row>
    <row r="177" spans="2:10" ht="19.5" customHeight="1">
      <c r="B177" s="59"/>
      <c r="C177" s="62" t="s">
        <v>32</v>
      </c>
      <c r="D177" s="61">
        <v>95014000</v>
      </c>
      <c r="E177" s="61">
        <v>3519720</v>
      </c>
      <c r="F177" s="61">
        <v>75600000</v>
      </c>
      <c r="G177" s="61"/>
      <c r="H177" s="61">
        <f t="shared" si="45"/>
        <v>79119720</v>
      </c>
      <c r="I177" s="61">
        <f t="shared" si="46"/>
        <v>15894280</v>
      </c>
      <c r="J177" s="33"/>
    </row>
    <row r="178" spans="2:10" ht="19.5" customHeight="1">
      <c r="B178" s="59"/>
      <c r="C178" s="62" t="s">
        <v>33</v>
      </c>
      <c r="D178" s="61">
        <v>5158728683</v>
      </c>
      <c r="E178" s="61">
        <v>34292083</v>
      </c>
      <c r="F178" s="61">
        <v>3920275000</v>
      </c>
      <c r="G178" s="61">
        <v>0</v>
      </c>
      <c r="H178" s="61">
        <f t="shared" si="45"/>
        <v>3954567083</v>
      </c>
      <c r="I178" s="61">
        <f t="shared" si="46"/>
        <v>1204161600</v>
      </c>
      <c r="J178" s="33"/>
    </row>
    <row r="179" spans="2:10" ht="19.5" customHeight="1">
      <c r="B179" s="59"/>
      <c r="C179" s="62" t="s">
        <v>34</v>
      </c>
      <c r="D179" s="61">
        <v>2731171247</v>
      </c>
      <c r="E179" s="61">
        <v>32542287</v>
      </c>
      <c r="F179" s="61">
        <v>2931828000</v>
      </c>
      <c r="G179" s="61">
        <v>0</v>
      </c>
      <c r="H179" s="61">
        <f t="shared" si="45"/>
        <v>2964370287</v>
      </c>
      <c r="I179" s="61">
        <f t="shared" si="46"/>
        <v>-233199040</v>
      </c>
      <c r="J179" s="33"/>
    </row>
    <row r="180" spans="2:10" ht="19.5" customHeight="1">
      <c r="B180" s="59"/>
      <c r="C180" s="62" t="s">
        <v>10</v>
      </c>
      <c r="D180" s="61">
        <v>40795723978</v>
      </c>
      <c r="E180" s="61">
        <v>496395284</v>
      </c>
      <c r="F180" s="61">
        <v>39073768000</v>
      </c>
      <c r="G180" s="61">
        <v>0</v>
      </c>
      <c r="H180" s="61">
        <f t="shared" si="45"/>
        <v>39570163284</v>
      </c>
      <c r="I180" s="61">
        <f t="shared" si="46"/>
        <v>1225560694</v>
      </c>
      <c r="J180" s="33"/>
    </row>
    <row r="181" spans="2:10" ht="19.5" customHeight="1">
      <c r="B181" s="59"/>
      <c r="C181" s="62" t="s">
        <v>35</v>
      </c>
      <c r="D181" s="61">
        <v>106187108</v>
      </c>
      <c r="E181" s="61">
        <v>11019953</v>
      </c>
      <c r="F181" s="61">
        <v>106243000</v>
      </c>
      <c r="G181" s="61"/>
      <c r="H181" s="61">
        <f t="shared" si="45"/>
        <v>117262953</v>
      </c>
      <c r="I181" s="61">
        <f t="shared" si="46"/>
        <v>-11075845</v>
      </c>
      <c r="J181" s="33"/>
    </row>
    <row r="182" spans="2:10" ht="21" customHeight="1">
      <c r="B182" s="59"/>
      <c r="C182" s="62" t="s">
        <v>41</v>
      </c>
      <c r="D182" s="61">
        <v>-6480345480.8</v>
      </c>
      <c r="E182" s="61">
        <v>0</v>
      </c>
      <c r="F182" s="61"/>
      <c r="G182" s="61"/>
      <c r="H182" s="61"/>
      <c r="I182" s="61">
        <f t="shared" si="46"/>
        <v>-6480345480.8</v>
      </c>
      <c r="J182" s="33"/>
    </row>
    <row r="183" spans="2:10" ht="19.5" customHeight="1">
      <c r="B183" s="59"/>
      <c r="C183" s="57"/>
      <c r="D183" s="61" t="s">
        <v>50</v>
      </c>
      <c r="E183" s="61"/>
      <c r="F183" s="61"/>
      <c r="G183" s="61"/>
      <c r="H183" s="61"/>
      <c r="I183" s="61"/>
      <c r="J183" s="33"/>
    </row>
    <row r="184" spans="2:10" s="98" customFormat="1" ht="19.5" customHeight="1">
      <c r="B184" s="102" t="s">
        <v>89</v>
      </c>
      <c r="C184" s="99"/>
      <c r="D184" s="86">
        <f aca="true" t="shared" si="47" ref="D184:I184">SUM(D185:D190)</f>
        <v>15142671598.25</v>
      </c>
      <c r="E184" s="86">
        <f t="shared" si="47"/>
        <v>15767602694.14</v>
      </c>
      <c r="F184" s="86">
        <f t="shared" si="47"/>
        <v>6159151000</v>
      </c>
      <c r="G184" s="86">
        <f t="shared" si="47"/>
        <v>100922185</v>
      </c>
      <c r="H184" s="86">
        <f t="shared" si="47"/>
        <v>22027675879.140003</v>
      </c>
      <c r="I184" s="86">
        <f t="shared" si="47"/>
        <v>-6885004280.890001</v>
      </c>
      <c r="J184" s="44"/>
    </row>
    <row r="185" spans="2:10" ht="19.5" customHeight="1">
      <c r="B185" s="96" t="s">
        <v>90</v>
      </c>
      <c r="C185" s="62" t="s">
        <v>37</v>
      </c>
      <c r="D185" s="61">
        <v>81021868</v>
      </c>
      <c r="E185" s="61">
        <v>100024766</v>
      </c>
      <c r="F185" s="61">
        <v>0</v>
      </c>
      <c r="G185" s="61"/>
      <c r="H185" s="73">
        <f aca="true" t="shared" si="48" ref="H185:H190">SUM(E185:G185)</f>
        <v>100024766</v>
      </c>
      <c r="I185" s="61">
        <f aca="true" t="shared" si="49" ref="I185:I190">D185-H185</f>
        <v>-19002898</v>
      </c>
      <c r="J185" s="33"/>
    </row>
    <row r="186" spans="2:10" ht="19.5" customHeight="1">
      <c r="B186" s="59"/>
      <c r="C186" s="62" t="s">
        <v>32</v>
      </c>
      <c r="D186" s="61">
        <v>474367022.69</v>
      </c>
      <c r="E186" s="61">
        <v>524229958.47</v>
      </c>
      <c r="F186" s="61">
        <v>281240000</v>
      </c>
      <c r="G186" s="61"/>
      <c r="H186" s="73">
        <f t="shared" si="48"/>
        <v>805469958.47</v>
      </c>
      <c r="I186" s="61">
        <f t="shared" si="49"/>
        <v>-331102935.78000003</v>
      </c>
      <c r="J186" s="33"/>
    </row>
    <row r="187" spans="2:10" ht="19.5" customHeight="1">
      <c r="B187" s="59"/>
      <c r="C187" s="62" t="s">
        <v>33</v>
      </c>
      <c r="D187" s="61">
        <v>407554964.4</v>
      </c>
      <c r="E187" s="61">
        <v>540558578</v>
      </c>
      <c r="F187" s="61">
        <v>291772000</v>
      </c>
      <c r="G187" s="61"/>
      <c r="H187" s="73">
        <f t="shared" si="48"/>
        <v>832330578</v>
      </c>
      <c r="I187" s="61">
        <f t="shared" si="49"/>
        <v>-424775613.6</v>
      </c>
      <c r="J187" s="33"/>
    </row>
    <row r="188" spans="2:10" ht="19.5" customHeight="1">
      <c r="B188" s="59"/>
      <c r="C188" s="62" t="s">
        <v>34</v>
      </c>
      <c r="D188" s="61">
        <v>694073854.14</v>
      </c>
      <c r="E188" s="61">
        <v>1528646692</v>
      </c>
      <c r="F188" s="61">
        <v>568792000</v>
      </c>
      <c r="G188" s="61">
        <v>0</v>
      </c>
      <c r="H188" s="73">
        <f t="shared" si="48"/>
        <v>2097438692</v>
      </c>
      <c r="I188" s="61">
        <f t="shared" si="49"/>
        <v>-1403364837.8600001</v>
      </c>
      <c r="J188" s="33"/>
    </row>
    <row r="189" spans="2:10" ht="19.5" customHeight="1">
      <c r="B189" s="59"/>
      <c r="C189" s="62" t="s">
        <v>10</v>
      </c>
      <c r="D189" s="61">
        <v>13423337406.02</v>
      </c>
      <c r="E189" s="61">
        <v>12987065760.26</v>
      </c>
      <c r="F189" s="61">
        <v>4916158000</v>
      </c>
      <c r="G189" s="61">
        <v>100922185</v>
      </c>
      <c r="H189" s="73">
        <f t="shared" si="48"/>
        <v>18004145945.260002</v>
      </c>
      <c r="I189" s="61">
        <f t="shared" si="49"/>
        <v>-4580808539.240002</v>
      </c>
      <c r="J189" s="33"/>
    </row>
    <row r="190" spans="2:10" ht="19.5" customHeight="1">
      <c r="B190" s="59"/>
      <c r="C190" s="62" t="s">
        <v>35</v>
      </c>
      <c r="D190" s="61">
        <v>62316483</v>
      </c>
      <c r="E190" s="61">
        <v>87076939.41</v>
      </c>
      <c r="F190" s="61">
        <v>101189000</v>
      </c>
      <c r="G190" s="61"/>
      <c r="H190" s="73">
        <f t="shared" si="48"/>
        <v>188265939.41</v>
      </c>
      <c r="I190" s="61">
        <f t="shared" si="49"/>
        <v>-125949456.41</v>
      </c>
      <c r="J190" s="33"/>
    </row>
    <row r="191" spans="2:10" s="6" customFormat="1" ht="25.5" customHeight="1">
      <c r="B191" s="69"/>
      <c r="C191" s="85"/>
      <c r="D191" s="73"/>
      <c r="E191" s="73"/>
      <c r="F191" s="73"/>
      <c r="G191" s="73"/>
      <c r="H191" s="73"/>
      <c r="I191" s="73"/>
      <c r="J191" s="37"/>
    </row>
    <row r="192" spans="2:10" s="98" customFormat="1" ht="19.5" customHeight="1">
      <c r="B192" s="102" t="s">
        <v>81</v>
      </c>
      <c r="C192" s="99"/>
      <c r="D192" s="86">
        <f aca="true" t="shared" si="50" ref="D192:I192">SUM(D193:D198)</f>
        <v>1897875511</v>
      </c>
      <c r="E192" s="86">
        <f t="shared" si="50"/>
        <v>635673501</v>
      </c>
      <c r="F192" s="86">
        <f t="shared" si="50"/>
        <v>2117142000</v>
      </c>
      <c r="G192" s="86">
        <f t="shared" si="50"/>
        <v>25500000</v>
      </c>
      <c r="H192" s="86">
        <f t="shared" si="50"/>
        <v>2778315501</v>
      </c>
      <c r="I192" s="86">
        <f t="shared" si="50"/>
        <v>-880439990</v>
      </c>
      <c r="J192" s="44"/>
    </row>
    <row r="193" spans="2:10" ht="19.5" customHeight="1">
      <c r="B193" s="97" t="s">
        <v>80</v>
      </c>
      <c r="C193" s="62" t="s">
        <v>32</v>
      </c>
      <c r="D193" s="61">
        <v>156839812</v>
      </c>
      <c r="E193" s="61">
        <v>447621810</v>
      </c>
      <c r="F193" s="61">
        <v>1314983000</v>
      </c>
      <c r="G193" s="61">
        <v>22500000</v>
      </c>
      <c r="H193" s="73">
        <f>SUM(E193:G193)</f>
        <v>1785104810</v>
      </c>
      <c r="I193" s="61">
        <f aca="true" t="shared" si="51" ref="I193:I198">D193-H193</f>
        <v>-1628264998</v>
      </c>
      <c r="J193" s="33"/>
    </row>
    <row r="194" spans="2:10" ht="19.5" customHeight="1">
      <c r="B194" s="59"/>
      <c r="C194" s="62" t="s">
        <v>33</v>
      </c>
      <c r="D194" s="61">
        <v>20726415</v>
      </c>
      <c r="E194" s="61">
        <v>62460959</v>
      </c>
      <c r="F194" s="61">
        <v>29825000</v>
      </c>
      <c r="G194" s="61">
        <v>3000000</v>
      </c>
      <c r="H194" s="73">
        <f>SUM(E194:G194)</f>
        <v>95285959</v>
      </c>
      <c r="I194" s="61">
        <f t="shared" si="51"/>
        <v>-74559544</v>
      </c>
      <c r="J194" s="33"/>
    </row>
    <row r="195" spans="2:10" s="6" customFormat="1" ht="19.5" customHeight="1">
      <c r="B195" s="69"/>
      <c r="C195" s="72" t="s">
        <v>34</v>
      </c>
      <c r="D195" s="73">
        <v>554205172</v>
      </c>
      <c r="E195" s="73">
        <v>114679284</v>
      </c>
      <c r="F195" s="73">
        <v>649709000</v>
      </c>
      <c r="G195" s="73">
        <v>0</v>
      </c>
      <c r="H195" s="73">
        <f>SUM(E195:G195)</f>
        <v>764388284</v>
      </c>
      <c r="I195" s="73">
        <f t="shared" si="51"/>
        <v>-210183112</v>
      </c>
      <c r="J195" s="37"/>
    </row>
    <row r="196" spans="2:10" ht="19.5" customHeight="1">
      <c r="B196" s="59"/>
      <c r="C196" s="62" t="s">
        <v>10</v>
      </c>
      <c r="D196" s="61">
        <v>205299098</v>
      </c>
      <c r="E196" s="61">
        <v>10911448</v>
      </c>
      <c r="F196" s="61">
        <v>116546000</v>
      </c>
      <c r="G196" s="61">
        <v>0</v>
      </c>
      <c r="H196" s="73">
        <f>SUM(E196:G196)</f>
        <v>127457448</v>
      </c>
      <c r="I196" s="61">
        <f t="shared" si="51"/>
        <v>77841650</v>
      </c>
      <c r="J196" s="33"/>
    </row>
    <row r="197" spans="2:10" ht="19.5" customHeight="1">
      <c r="B197" s="59"/>
      <c r="C197" s="62" t="s">
        <v>35</v>
      </c>
      <c r="D197" s="61">
        <v>11248427</v>
      </c>
      <c r="E197" s="61">
        <v>0</v>
      </c>
      <c r="F197" s="61">
        <v>6079000</v>
      </c>
      <c r="G197" s="61">
        <v>0</v>
      </c>
      <c r="H197" s="73">
        <f>SUM(E197:G197)</f>
        <v>6079000</v>
      </c>
      <c r="I197" s="61">
        <f t="shared" si="51"/>
        <v>5169427</v>
      </c>
      <c r="J197" s="33"/>
    </row>
    <row r="198" spans="2:10" s="51" customFormat="1" ht="21" customHeight="1">
      <c r="B198" s="76"/>
      <c r="C198" s="88" t="s">
        <v>23</v>
      </c>
      <c r="D198" s="78">
        <v>949556587</v>
      </c>
      <c r="E198" s="78">
        <v>0</v>
      </c>
      <c r="F198" s="78">
        <v>0</v>
      </c>
      <c r="G198" s="78"/>
      <c r="H198" s="77"/>
      <c r="I198" s="78">
        <f t="shared" si="51"/>
        <v>949556587</v>
      </c>
      <c r="J198" s="50"/>
    </row>
    <row r="199" spans="2:10" ht="29.25" customHeight="1">
      <c r="B199" s="59"/>
      <c r="C199" s="57"/>
      <c r="D199" s="61"/>
      <c r="E199" s="61"/>
      <c r="F199" s="61"/>
      <c r="G199" s="61"/>
      <c r="H199" s="61"/>
      <c r="I199" s="61"/>
      <c r="J199" s="33"/>
    </row>
    <row r="200" spans="2:10" s="98" customFormat="1" ht="19.5" customHeight="1">
      <c r="B200" s="102" t="s">
        <v>82</v>
      </c>
      <c r="C200" s="99"/>
      <c r="D200" s="86">
        <f aca="true" t="shared" si="52" ref="D200:I200">SUM(D201:D207)</f>
        <v>2250191604</v>
      </c>
      <c r="E200" s="86">
        <f t="shared" si="52"/>
        <v>1587720275</v>
      </c>
      <c r="F200" s="86">
        <f t="shared" si="52"/>
        <v>882689000</v>
      </c>
      <c r="G200" s="86">
        <f t="shared" si="52"/>
        <v>190000000</v>
      </c>
      <c r="H200" s="86">
        <f t="shared" si="52"/>
        <v>2660409275</v>
      </c>
      <c r="I200" s="86">
        <f t="shared" si="52"/>
        <v>-410217671</v>
      </c>
      <c r="J200" s="44"/>
    </row>
    <row r="201" spans="2:10" ht="19.5" customHeight="1">
      <c r="B201" s="96" t="s">
        <v>80</v>
      </c>
      <c r="C201" s="62" t="s">
        <v>37</v>
      </c>
      <c r="D201" s="61">
        <v>0</v>
      </c>
      <c r="E201" s="61">
        <v>11624684</v>
      </c>
      <c r="F201" s="61">
        <v>0</v>
      </c>
      <c r="G201" s="61"/>
      <c r="H201" s="73">
        <f aca="true" t="shared" si="53" ref="H201:H207">SUM(E201:G201)</f>
        <v>11624684</v>
      </c>
      <c r="I201" s="61">
        <f aca="true" t="shared" si="54" ref="I201:I207">D201-H201</f>
        <v>-11624684</v>
      </c>
      <c r="J201" s="33"/>
    </row>
    <row r="202" spans="2:10" ht="19.5" customHeight="1">
      <c r="B202" s="59"/>
      <c r="C202" s="62" t="s">
        <v>32</v>
      </c>
      <c r="D202" s="61">
        <v>208849632</v>
      </c>
      <c r="E202" s="61">
        <v>1245229602</v>
      </c>
      <c r="F202" s="61">
        <v>726537000</v>
      </c>
      <c r="G202" s="61">
        <v>190000000</v>
      </c>
      <c r="H202" s="73">
        <f t="shared" si="53"/>
        <v>2161766602</v>
      </c>
      <c r="I202" s="61">
        <f t="shared" si="54"/>
        <v>-1952916970</v>
      </c>
      <c r="J202" s="33"/>
    </row>
    <row r="203" spans="2:10" ht="19.5" customHeight="1">
      <c r="B203" s="59"/>
      <c r="C203" s="62" t="s">
        <v>33</v>
      </c>
      <c r="D203" s="61">
        <v>11384387</v>
      </c>
      <c r="E203" s="61">
        <v>12950067</v>
      </c>
      <c r="F203" s="61">
        <v>18800000</v>
      </c>
      <c r="G203" s="61"/>
      <c r="H203" s="73">
        <f t="shared" si="53"/>
        <v>31750067</v>
      </c>
      <c r="I203" s="61">
        <f t="shared" si="54"/>
        <v>-20365680</v>
      </c>
      <c r="J203" s="33"/>
    </row>
    <row r="204" spans="2:10" ht="19.5" customHeight="1">
      <c r="B204" s="59"/>
      <c r="C204" s="62" t="s">
        <v>34</v>
      </c>
      <c r="D204" s="61">
        <v>8999350</v>
      </c>
      <c r="E204" s="61">
        <v>120597565</v>
      </c>
      <c r="F204" s="61">
        <v>8738000</v>
      </c>
      <c r="G204" s="61">
        <v>0</v>
      </c>
      <c r="H204" s="73">
        <f t="shared" si="53"/>
        <v>129335565</v>
      </c>
      <c r="I204" s="61">
        <f t="shared" si="54"/>
        <v>-120336215</v>
      </c>
      <c r="J204" s="33"/>
    </row>
    <row r="205" spans="2:10" ht="19.5" customHeight="1">
      <c r="B205" s="59"/>
      <c r="C205" s="62" t="s">
        <v>10</v>
      </c>
      <c r="D205" s="61">
        <v>52387630</v>
      </c>
      <c r="E205" s="61">
        <v>197208357</v>
      </c>
      <c r="F205" s="61">
        <v>125333000</v>
      </c>
      <c r="G205" s="61">
        <v>0</v>
      </c>
      <c r="H205" s="73">
        <f t="shared" si="53"/>
        <v>322541357</v>
      </c>
      <c r="I205" s="61">
        <f t="shared" si="54"/>
        <v>-270153727</v>
      </c>
      <c r="J205" s="33"/>
    </row>
    <row r="206" spans="2:10" s="6" customFormat="1" ht="19.5" customHeight="1">
      <c r="B206" s="69"/>
      <c r="C206" s="72" t="s">
        <v>35</v>
      </c>
      <c r="D206" s="73">
        <v>3498752</v>
      </c>
      <c r="E206" s="73">
        <v>110000</v>
      </c>
      <c r="F206" s="73">
        <v>3281000</v>
      </c>
      <c r="G206" s="73"/>
      <c r="H206" s="73">
        <f t="shared" si="53"/>
        <v>3391000</v>
      </c>
      <c r="I206" s="73">
        <f t="shared" si="54"/>
        <v>107752</v>
      </c>
      <c r="J206" s="37"/>
    </row>
    <row r="207" spans="2:10" s="49" customFormat="1" ht="21" customHeight="1">
      <c r="B207" s="79"/>
      <c r="C207" s="88" t="s">
        <v>41</v>
      </c>
      <c r="D207" s="77">
        <v>1965071853</v>
      </c>
      <c r="E207" s="77">
        <v>0</v>
      </c>
      <c r="F207" s="77">
        <v>0</v>
      </c>
      <c r="G207" s="77"/>
      <c r="H207" s="77">
        <f t="shared" si="53"/>
        <v>0</v>
      </c>
      <c r="I207" s="77">
        <f t="shared" si="54"/>
        <v>1965071853</v>
      </c>
      <c r="J207" s="48"/>
    </row>
    <row r="208" spans="2:10" ht="36" customHeight="1">
      <c r="B208" s="59"/>
      <c r="C208" s="57"/>
      <c r="D208" s="61"/>
      <c r="E208" s="61"/>
      <c r="F208" s="61"/>
      <c r="G208" s="61"/>
      <c r="H208" s="61"/>
      <c r="I208" s="61"/>
      <c r="J208" s="33"/>
    </row>
    <row r="209" spans="2:10" s="98" customFormat="1" ht="19.5" customHeight="1">
      <c r="B209" s="102" t="s">
        <v>83</v>
      </c>
      <c r="C209" s="99"/>
      <c r="D209" s="86">
        <f aca="true" t="shared" si="55" ref="D209:I209">SUM(D210:D215)</f>
        <v>2503081813</v>
      </c>
      <c r="E209" s="86">
        <f t="shared" si="55"/>
        <v>2516114867.9</v>
      </c>
      <c r="F209" s="86">
        <f t="shared" si="55"/>
        <v>2010699000</v>
      </c>
      <c r="G209" s="86">
        <f t="shared" si="55"/>
        <v>89997000</v>
      </c>
      <c r="H209" s="86">
        <f t="shared" si="55"/>
        <v>4616810867.9</v>
      </c>
      <c r="I209" s="86">
        <f t="shared" si="55"/>
        <v>-2113729054.8999999</v>
      </c>
      <c r="J209" s="44"/>
    </row>
    <row r="210" spans="2:10" s="6" customFormat="1" ht="19.5" customHeight="1">
      <c r="B210" s="99" t="s">
        <v>80</v>
      </c>
      <c r="C210" s="72" t="s">
        <v>37</v>
      </c>
      <c r="D210" s="73">
        <f>231612567+28937393+541363307</f>
        <v>801913267</v>
      </c>
      <c r="E210" s="73">
        <f>1239641269.8+1744022</f>
        <v>1241385291.8</v>
      </c>
      <c r="F210" s="73">
        <v>0</v>
      </c>
      <c r="G210" s="73">
        <v>0</v>
      </c>
      <c r="H210" s="73">
        <f aca="true" t="shared" si="56" ref="H210:H215">SUM(E210:G210)</f>
        <v>1241385291.8</v>
      </c>
      <c r="I210" s="73">
        <f aca="true" t="shared" si="57" ref="I210:I215">D210-H210</f>
        <v>-439472024.79999995</v>
      </c>
      <c r="J210" s="37"/>
    </row>
    <row r="211" spans="2:10" s="31" customFormat="1" ht="19.5" customHeight="1" thickBot="1">
      <c r="B211" s="82"/>
      <c r="C211" s="81" t="s">
        <v>32</v>
      </c>
      <c r="D211" s="83">
        <f>106877981+701605490+6488394+249177197+2365010+11000000+138349659</f>
        <v>1215863731</v>
      </c>
      <c r="E211" s="83">
        <f>454984887+92608790.1+57655066+344531642+48169214</f>
        <v>997949599.1</v>
      </c>
      <c r="F211" s="83">
        <v>1668765000</v>
      </c>
      <c r="G211" s="83">
        <v>9119000</v>
      </c>
      <c r="H211" s="83">
        <f t="shared" si="56"/>
        <v>2675833599.1</v>
      </c>
      <c r="I211" s="83">
        <f t="shared" si="57"/>
        <v>-1459969868.1</v>
      </c>
      <c r="J211" s="36"/>
    </row>
    <row r="212" spans="2:10" s="6" customFormat="1" ht="18.75" customHeight="1">
      <c r="B212" s="69"/>
      <c r="C212" s="72" t="s">
        <v>33</v>
      </c>
      <c r="D212" s="73">
        <f>2719217+69452314+41589125+111243542</f>
        <v>225004198</v>
      </c>
      <c r="E212" s="73">
        <f>5105331+57060106+51337601+15923931</f>
        <v>129426969</v>
      </c>
      <c r="F212" s="73">
        <v>120127000</v>
      </c>
      <c r="G212" s="73">
        <v>74433000</v>
      </c>
      <c r="H212" s="73">
        <f t="shared" si="56"/>
        <v>323986969</v>
      </c>
      <c r="I212" s="73">
        <f t="shared" si="57"/>
        <v>-98982771</v>
      </c>
      <c r="J212" s="37"/>
    </row>
    <row r="213" spans="2:10" ht="19.5" customHeight="1">
      <c r="B213" s="59"/>
      <c r="C213" s="62" t="s">
        <v>34</v>
      </c>
      <c r="D213" s="73">
        <f>428935+2033467+30044358</f>
        <v>32506760</v>
      </c>
      <c r="E213" s="61">
        <f>2033467+7788999</f>
        <v>9822466</v>
      </c>
      <c r="F213" s="61">
        <v>35735000</v>
      </c>
      <c r="G213" s="61">
        <v>0</v>
      </c>
      <c r="H213" s="73">
        <f t="shared" si="56"/>
        <v>45557466</v>
      </c>
      <c r="I213" s="61">
        <f t="shared" si="57"/>
        <v>-13050706</v>
      </c>
      <c r="J213" s="33"/>
    </row>
    <row r="214" spans="2:10" ht="19.5" customHeight="1">
      <c r="B214" s="59"/>
      <c r="C214" s="62" t="s">
        <v>10</v>
      </c>
      <c r="D214" s="73">
        <f>194529083+14658772</f>
        <v>209187855</v>
      </c>
      <c r="E214" s="61">
        <f>134682133+2128885</f>
        <v>136811018</v>
      </c>
      <c r="F214" s="61">
        <v>177986000</v>
      </c>
      <c r="G214" s="61">
        <v>129000</v>
      </c>
      <c r="H214" s="73">
        <f t="shared" si="56"/>
        <v>314926018</v>
      </c>
      <c r="I214" s="61">
        <f t="shared" si="57"/>
        <v>-105738163</v>
      </c>
      <c r="J214" s="33"/>
    </row>
    <row r="215" spans="2:10" ht="19.5" customHeight="1">
      <c r="B215" s="59"/>
      <c r="C215" s="62" t="s">
        <v>35</v>
      </c>
      <c r="D215" s="73">
        <f>85830+18520172</f>
        <v>18606002</v>
      </c>
      <c r="E215" s="61">
        <f>469524+250000</f>
        <v>719524</v>
      </c>
      <c r="F215" s="61">
        <v>8086000</v>
      </c>
      <c r="G215" s="61">
        <v>6316000</v>
      </c>
      <c r="H215" s="73">
        <f t="shared" si="56"/>
        <v>15121524</v>
      </c>
      <c r="I215" s="61">
        <f t="shared" si="57"/>
        <v>3484478</v>
      </c>
      <c r="J215" s="33"/>
    </row>
    <row r="216" spans="2:10" ht="19.5" customHeight="1">
      <c r="B216" s="59"/>
      <c r="C216" s="57"/>
      <c r="D216" s="61"/>
      <c r="E216" s="61"/>
      <c r="F216" s="61"/>
      <c r="G216" s="61"/>
      <c r="H216" s="61"/>
      <c r="I216" s="61"/>
      <c r="J216" s="33"/>
    </row>
    <row r="217" spans="2:10" ht="19.5" customHeight="1">
      <c r="B217" s="59"/>
      <c r="C217" s="57"/>
      <c r="D217" s="61"/>
      <c r="E217" s="61"/>
      <c r="F217" s="61"/>
      <c r="G217" s="61"/>
      <c r="H217" s="61"/>
      <c r="I217" s="61"/>
      <c r="J217" s="33"/>
    </row>
    <row r="218" spans="2:10" s="98" customFormat="1" ht="19.5" customHeight="1">
      <c r="B218" s="102" t="s">
        <v>84</v>
      </c>
      <c r="C218" s="99"/>
      <c r="D218" s="86">
        <f aca="true" t="shared" si="58" ref="D218:I218">SUM(D219:D223)</f>
        <v>66803484</v>
      </c>
      <c r="E218" s="86">
        <f t="shared" si="58"/>
        <v>0</v>
      </c>
      <c r="F218" s="86">
        <f t="shared" si="58"/>
        <v>75016000</v>
      </c>
      <c r="G218" s="86">
        <f t="shared" si="58"/>
        <v>0</v>
      </c>
      <c r="H218" s="86">
        <f t="shared" si="58"/>
        <v>75016000</v>
      </c>
      <c r="I218" s="86">
        <f t="shared" si="58"/>
        <v>-8212516</v>
      </c>
      <c r="J218" s="44"/>
    </row>
    <row r="219" spans="2:10" ht="19.5" customHeight="1">
      <c r="B219" s="97" t="s">
        <v>80</v>
      </c>
      <c r="C219" s="62" t="s">
        <v>32</v>
      </c>
      <c r="D219" s="73">
        <v>18261225</v>
      </c>
      <c r="E219" s="73">
        <v>0</v>
      </c>
      <c r="F219" s="61">
        <v>23250000</v>
      </c>
      <c r="G219" s="61"/>
      <c r="H219" s="73">
        <f>SUM(E219:G219)</f>
        <v>23250000</v>
      </c>
      <c r="I219" s="61">
        <f>D219-H219</f>
        <v>-4988775</v>
      </c>
      <c r="J219" s="33"/>
    </row>
    <row r="220" spans="2:10" ht="19.5" customHeight="1">
      <c r="B220" s="59"/>
      <c r="C220" s="62" t="s">
        <v>33</v>
      </c>
      <c r="D220" s="73">
        <v>3021169</v>
      </c>
      <c r="E220" s="73">
        <v>0</v>
      </c>
      <c r="F220" s="61">
        <v>4570000</v>
      </c>
      <c r="G220" s="61"/>
      <c r="H220" s="73">
        <f>SUM(E220:G220)</f>
        <v>4570000</v>
      </c>
      <c r="I220" s="61">
        <f>D220-H220</f>
        <v>-1548831</v>
      </c>
      <c r="J220" s="33"/>
    </row>
    <row r="221" spans="2:10" ht="19.5" customHeight="1">
      <c r="B221" s="69"/>
      <c r="C221" s="72" t="s">
        <v>34</v>
      </c>
      <c r="D221" s="73">
        <v>2171495</v>
      </c>
      <c r="E221" s="73">
        <v>0</v>
      </c>
      <c r="F221" s="73">
        <v>2235000</v>
      </c>
      <c r="G221" s="73"/>
      <c r="H221" s="73">
        <f>SUM(E221:G221)</f>
        <v>2235000</v>
      </c>
      <c r="I221" s="73">
        <f>D221-H221</f>
        <v>-63505</v>
      </c>
      <c r="J221" s="33"/>
    </row>
    <row r="222" spans="2:10" ht="19.5" customHeight="1">
      <c r="B222" s="59"/>
      <c r="C222" s="62" t="s">
        <v>10</v>
      </c>
      <c r="D222" s="73">
        <f>40000000+1803103</f>
        <v>41803103</v>
      </c>
      <c r="E222" s="73"/>
      <c r="F222" s="61">
        <f>40000000+2224000</f>
        <v>42224000</v>
      </c>
      <c r="G222" s="61"/>
      <c r="H222" s="73">
        <f>SUM(E222:G222)</f>
        <v>42224000</v>
      </c>
      <c r="I222" s="61">
        <f>D222-H222</f>
        <v>-420897</v>
      </c>
      <c r="J222" s="33"/>
    </row>
    <row r="223" spans="2:10" ht="19.5" customHeight="1">
      <c r="B223" s="59"/>
      <c r="C223" s="62" t="s">
        <v>35</v>
      </c>
      <c r="D223" s="73">
        <v>1546492</v>
      </c>
      <c r="E223" s="73"/>
      <c r="F223" s="61">
        <v>2737000</v>
      </c>
      <c r="G223" s="61"/>
      <c r="H223" s="73">
        <f>SUM(E223:G223)</f>
        <v>2737000</v>
      </c>
      <c r="I223" s="61">
        <f>D223-H223</f>
        <v>-1190508</v>
      </c>
      <c r="J223" s="33"/>
    </row>
    <row r="224" spans="2:10" ht="19.5" customHeight="1">
      <c r="B224" s="59"/>
      <c r="C224" s="57"/>
      <c r="D224" s="61"/>
      <c r="E224" s="61"/>
      <c r="F224" s="61">
        <v>0</v>
      </c>
      <c r="G224" s="61"/>
      <c r="H224" s="61"/>
      <c r="I224" s="61"/>
      <c r="J224" s="33"/>
    </row>
    <row r="225" spans="2:10" ht="19.5" customHeight="1">
      <c r="B225" s="108" t="s">
        <v>51</v>
      </c>
      <c r="C225" s="109"/>
      <c r="D225" s="58">
        <f>D227</f>
        <v>212067834.35999998</v>
      </c>
      <c r="E225" s="58">
        <f>E227</f>
        <v>249537796</v>
      </c>
      <c r="F225" s="58">
        <f>F227</f>
        <v>231871000</v>
      </c>
      <c r="G225" s="58">
        <f>G227</f>
        <v>0</v>
      </c>
      <c r="H225" s="58">
        <f>E225+F225+G225</f>
        <v>481408796</v>
      </c>
      <c r="I225" s="58">
        <f>D225-H225</f>
        <v>-269340961.64</v>
      </c>
      <c r="J225" s="9"/>
    </row>
    <row r="226" spans="2:9" ht="19.5" customHeight="1">
      <c r="B226" s="57"/>
      <c r="C226" s="57"/>
      <c r="D226" s="61"/>
      <c r="E226" s="61"/>
      <c r="F226" s="61"/>
      <c r="G226" s="61"/>
      <c r="H226" s="61"/>
      <c r="I226" s="61"/>
    </row>
    <row r="227" spans="2:10" s="94" customFormat="1" ht="19.5" customHeight="1">
      <c r="B227" s="89" t="s">
        <v>85</v>
      </c>
      <c r="C227" s="96"/>
      <c r="D227" s="58">
        <f aca="true" t="shared" si="59" ref="D227:I227">SUM(D228:D231)</f>
        <v>212067834.35999998</v>
      </c>
      <c r="E227" s="58">
        <f t="shared" si="59"/>
        <v>249537796</v>
      </c>
      <c r="F227" s="58">
        <f t="shared" si="59"/>
        <v>231871000</v>
      </c>
      <c r="G227" s="58">
        <f t="shared" si="59"/>
        <v>0</v>
      </c>
      <c r="H227" s="58">
        <f t="shared" si="59"/>
        <v>481408796</v>
      </c>
      <c r="I227" s="58">
        <f t="shared" si="59"/>
        <v>-269340961.64</v>
      </c>
      <c r="J227" s="9"/>
    </row>
    <row r="228" spans="2:10" ht="19.5" customHeight="1">
      <c r="B228" s="97" t="s">
        <v>86</v>
      </c>
      <c r="C228" s="62" t="s">
        <v>33</v>
      </c>
      <c r="D228" s="61">
        <f>32687242.14+106893625.82</f>
        <v>139580867.95999998</v>
      </c>
      <c r="E228" s="61">
        <f>5251243+213499058</f>
        <v>218750301</v>
      </c>
      <c r="F228" s="61">
        <f>40000000+100000000+420000</f>
        <v>140420000</v>
      </c>
      <c r="G228" s="61"/>
      <c r="H228" s="61">
        <f>SUM(E228:G228)</f>
        <v>359170301</v>
      </c>
      <c r="I228" s="61">
        <f>D228-H228</f>
        <v>-219589433.04000002</v>
      </c>
      <c r="J228" s="33"/>
    </row>
    <row r="229" spans="2:10" ht="19.5" customHeight="1">
      <c r="B229" s="59"/>
      <c r="C229" s="62" t="s">
        <v>34</v>
      </c>
      <c r="D229" s="61">
        <v>66683537.4</v>
      </c>
      <c r="E229" s="61">
        <v>25991495</v>
      </c>
      <c r="F229" s="61">
        <v>72924000</v>
      </c>
      <c r="G229" s="61"/>
      <c r="H229" s="61">
        <f>SUM(E229:G229)</f>
        <v>98915495</v>
      </c>
      <c r="I229" s="61">
        <f>D229-H229</f>
        <v>-32231957.6</v>
      </c>
      <c r="J229" s="33"/>
    </row>
    <row r="230" spans="2:10" ht="19.5" customHeight="1">
      <c r="B230" s="59"/>
      <c r="C230" s="62" t="s">
        <v>10</v>
      </c>
      <c r="D230" s="61">
        <v>4919333</v>
      </c>
      <c r="E230" s="61">
        <v>4796000</v>
      </c>
      <c r="F230" s="61">
        <v>17527000</v>
      </c>
      <c r="G230" s="61"/>
      <c r="H230" s="61">
        <f>SUM(E230:G230)</f>
        <v>22323000</v>
      </c>
      <c r="I230" s="61">
        <f>D230-H230</f>
        <v>-17403667</v>
      </c>
      <c r="J230" s="33"/>
    </row>
    <row r="231" spans="2:10" ht="19.5" customHeight="1">
      <c r="B231" s="59"/>
      <c r="C231" s="62" t="s">
        <v>35</v>
      </c>
      <c r="D231" s="61">
        <v>884096</v>
      </c>
      <c r="E231" s="61">
        <v>0</v>
      </c>
      <c r="F231" s="61">
        <v>1000000</v>
      </c>
      <c r="G231" s="61"/>
      <c r="H231" s="61">
        <f>SUM(E231:G231)</f>
        <v>1000000</v>
      </c>
      <c r="I231" s="61">
        <f>D231-H231</f>
        <v>-115904</v>
      </c>
      <c r="J231" s="33"/>
    </row>
    <row r="232" spans="2:10" s="6" customFormat="1" ht="19.5" customHeight="1">
      <c r="B232" s="69"/>
      <c r="C232" s="70"/>
      <c r="D232" s="71"/>
      <c r="E232" s="71"/>
      <c r="F232" s="71"/>
      <c r="G232" s="71"/>
      <c r="H232" s="71"/>
      <c r="I232" s="61">
        <f>D232-H232</f>
        <v>0</v>
      </c>
      <c r="J232" s="37"/>
    </row>
    <row r="233" spans="2:10" s="6" customFormat="1" ht="19.5" customHeight="1">
      <c r="B233" s="56" t="s">
        <v>52</v>
      </c>
      <c r="C233" s="57"/>
      <c r="D233" s="58">
        <f aca="true" t="shared" si="60" ref="D233:I233">D235</f>
        <v>15561930</v>
      </c>
      <c r="E233" s="58">
        <f t="shared" si="60"/>
        <v>4566500</v>
      </c>
      <c r="F233" s="58">
        <f t="shared" si="60"/>
        <v>11131000</v>
      </c>
      <c r="G233" s="58">
        <f t="shared" si="60"/>
        <v>0</v>
      </c>
      <c r="H233" s="58">
        <f t="shared" si="60"/>
        <v>15697500</v>
      </c>
      <c r="I233" s="58">
        <f t="shared" si="60"/>
        <v>-135570</v>
      </c>
      <c r="J233" s="9"/>
    </row>
    <row r="234" spans="2:10" s="6" customFormat="1" ht="19.5" customHeight="1">
      <c r="B234" s="90"/>
      <c r="C234" s="70"/>
      <c r="D234" s="71"/>
      <c r="E234" s="71"/>
      <c r="F234" s="71"/>
      <c r="G234" s="71"/>
      <c r="H234" s="71"/>
      <c r="I234" s="71"/>
      <c r="J234" s="37"/>
    </row>
    <row r="235" spans="2:10" s="98" customFormat="1" ht="19.5" customHeight="1">
      <c r="B235" s="75" t="s">
        <v>87</v>
      </c>
      <c r="C235" s="99"/>
      <c r="D235" s="86">
        <f aca="true" t="shared" si="61" ref="D235:I235">SUM(D236:D240)</f>
        <v>15561930</v>
      </c>
      <c r="E235" s="86">
        <f t="shared" si="61"/>
        <v>4566500</v>
      </c>
      <c r="F235" s="86">
        <f t="shared" si="61"/>
        <v>11131000</v>
      </c>
      <c r="G235" s="86">
        <f t="shared" si="61"/>
        <v>0</v>
      </c>
      <c r="H235" s="86">
        <f t="shared" si="61"/>
        <v>15697500</v>
      </c>
      <c r="I235" s="86">
        <f t="shared" si="61"/>
        <v>-135570</v>
      </c>
      <c r="J235" s="44"/>
    </row>
    <row r="236" spans="2:10" s="6" customFormat="1" ht="19.5" customHeight="1">
      <c r="B236" s="69"/>
      <c r="C236" s="72" t="s">
        <v>33</v>
      </c>
      <c r="D236" s="91">
        <v>153000</v>
      </c>
      <c r="E236" s="73">
        <v>0</v>
      </c>
      <c r="F236" s="73">
        <v>164000</v>
      </c>
      <c r="G236" s="73"/>
      <c r="H236" s="73">
        <f>E236+F236+G236</f>
        <v>164000</v>
      </c>
      <c r="I236" s="73">
        <f>D236-H236</f>
        <v>-11000</v>
      </c>
      <c r="J236" s="37"/>
    </row>
    <row r="237" spans="2:10" s="6" customFormat="1" ht="19.5" customHeight="1">
      <c r="B237" s="69"/>
      <c r="C237" s="72" t="s">
        <v>34</v>
      </c>
      <c r="D237" s="73">
        <v>8622205</v>
      </c>
      <c r="E237" s="73">
        <v>500540</v>
      </c>
      <c r="F237" s="73">
        <v>8773000</v>
      </c>
      <c r="G237" s="73"/>
      <c r="H237" s="73">
        <f>E237+F237+G237</f>
        <v>9273540</v>
      </c>
      <c r="I237" s="73">
        <f>D237-H237</f>
        <v>-651335</v>
      </c>
      <c r="J237" s="37"/>
    </row>
    <row r="238" spans="2:10" ht="19.5" customHeight="1">
      <c r="B238" s="59"/>
      <c r="C238" s="62" t="s">
        <v>10</v>
      </c>
      <c r="D238" s="61">
        <v>4287418</v>
      </c>
      <c r="E238" s="61">
        <v>3165968</v>
      </c>
      <c r="F238" s="61">
        <v>866000</v>
      </c>
      <c r="G238" s="61"/>
      <c r="H238" s="61">
        <f>E238+F238+G238</f>
        <v>4031968</v>
      </c>
      <c r="I238" s="61">
        <f>D238-H238</f>
        <v>255450</v>
      </c>
      <c r="J238" s="33"/>
    </row>
    <row r="239" spans="2:10" s="6" customFormat="1" ht="19.5" customHeight="1">
      <c r="B239" s="69"/>
      <c r="C239" s="72" t="s">
        <v>35</v>
      </c>
      <c r="D239" s="73">
        <v>1949442</v>
      </c>
      <c r="E239" s="73">
        <v>899992</v>
      </c>
      <c r="F239" s="73">
        <v>1328000</v>
      </c>
      <c r="G239" s="73"/>
      <c r="H239" s="73">
        <f>E239+F239+G239</f>
        <v>2227992</v>
      </c>
      <c r="I239" s="73">
        <f>D239-H239</f>
        <v>-278550</v>
      </c>
      <c r="J239" s="37"/>
    </row>
    <row r="240" spans="2:10" s="6" customFormat="1" ht="19.5" customHeight="1">
      <c r="B240" s="69"/>
      <c r="C240" s="62" t="s">
        <v>39</v>
      </c>
      <c r="D240" s="71">
        <v>549865</v>
      </c>
      <c r="E240" s="71">
        <v>0</v>
      </c>
      <c r="F240" s="71">
        <v>0</v>
      </c>
      <c r="G240" s="71"/>
      <c r="H240" s="61">
        <f>E240+F240+G240</f>
        <v>0</v>
      </c>
      <c r="I240" s="61">
        <f>D240-H240</f>
        <v>549865</v>
      </c>
      <c r="J240" s="37"/>
    </row>
    <row r="241" spans="2:10" s="6" customFormat="1" ht="19.5" customHeight="1">
      <c r="B241" s="69"/>
      <c r="C241" s="57"/>
      <c r="D241" s="71"/>
      <c r="E241" s="71"/>
      <c r="F241" s="71"/>
      <c r="G241" s="71"/>
      <c r="H241" s="71"/>
      <c r="I241" s="71"/>
      <c r="J241" s="37"/>
    </row>
    <row r="242" spans="2:10" ht="23.25" customHeight="1">
      <c r="B242" s="110" t="s">
        <v>53</v>
      </c>
      <c r="C242" s="109"/>
      <c r="D242" s="58">
        <f aca="true" t="shared" si="62" ref="D242:I242">D244</f>
        <v>249836034</v>
      </c>
      <c r="E242" s="58">
        <f t="shared" si="62"/>
        <v>10426505</v>
      </c>
      <c r="F242" s="58">
        <f t="shared" si="62"/>
        <v>261653000</v>
      </c>
      <c r="G242" s="58">
        <f t="shared" si="62"/>
        <v>0</v>
      </c>
      <c r="H242" s="58">
        <f t="shared" si="62"/>
        <v>272079505</v>
      </c>
      <c r="I242" s="58">
        <f t="shared" si="62"/>
        <v>-22243471</v>
      </c>
      <c r="J242" s="9"/>
    </row>
    <row r="243" spans="1:17" s="31" customFormat="1" ht="19.5" customHeight="1" thickBot="1">
      <c r="A243" s="6"/>
      <c r="B243" s="69"/>
      <c r="C243" s="85"/>
      <c r="D243" s="73"/>
      <c r="E243" s="73"/>
      <c r="F243" s="73"/>
      <c r="G243" s="73"/>
      <c r="H243" s="61">
        <f>E243+F243+G243</f>
        <v>0</v>
      </c>
      <c r="I243" s="61">
        <f>D243-H243</f>
        <v>0</v>
      </c>
      <c r="J243" s="37"/>
      <c r="K243" s="6"/>
      <c r="L243" s="6"/>
      <c r="M243" s="6"/>
      <c r="N243" s="6"/>
      <c r="O243" s="6"/>
      <c r="P243" s="6"/>
      <c r="Q243" s="6"/>
    </row>
    <row r="244" spans="2:10" s="94" customFormat="1" ht="19.5" customHeight="1">
      <c r="B244" s="89" t="s">
        <v>88</v>
      </c>
      <c r="C244" s="96"/>
      <c r="D244" s="58">
        <f aca="true" t="shared" si="63" ref="D244:I244">SUM(D245:D250)</f>
        <v>249836034</v>
      </c>
      <c r="E244" s="58">
        <f t="shared" si="63"/>
        <v>10426505</v>
      </c>
      <c r="F244" s="58">
        <f t="shared" si="63"/>
        <v>261653000</v>
      </c>
      <c r="G244" s="58">
        <f t="shared" si="63"/>
        <v>0</v>
      </c>
      <c r="H244" s="58">
        <f t="shared" si="63"/>
        <v>272079505</v>
      </c>
      <c r="I244" s="58">
        <f t="shared" si="63"/>
        <v>-22243471</v>
      </c>
      <c r="J244" s="9"/>
    </row>
    <row r="245" spans="2:10" s="6" customFormat="1" ht="19.5" customHeight="1">
      <c r="B245" s="85"/>
      <c r="C245" s="72" t="s">
        <v>37</v>
      </c>
      <c r="D245" s="73">
        <v>913696</v>
      </c>
      <c r="E245" s="73">
        <v>285564</v>
      </c>
      <c r="F245" s="73">
        <v>0</v>
      </c>
      <c r="G245" s="73"/>
      <c r="H245" s="73">
        <f>E245+F245+G245</f>
        <v>285564</v>
      </c>
      <c r="I245" s="73">
        <f aca="true" t="shared" si="64" ref="I245:I250">D245-H245</f>
        <v>628132</v>
      </c>
      <c r="J245" s="37"/>
    </row>
    <row r="246" spans="2:10" ht="19.5" customHeight="1">
      <c r="B246" s="59"/>
      <c r="C246" s="62" t="s">
        <v>33</v>
      </c>
      <c r="D246" s="61">
        <v>3669591</v>
      </c>
      <c r="E246" s="60">
        <v>4468941</v>
      </c>
      <c r="F246" s="61">
        <v>0</v>
      </c>
      <c r="G246" s="61"/>
      <c r="H246" s="61">
        <f>E246+F246+G246</f>
        <v>4468941</v>
      </c>
      <c r="I246" s="73">
        <f t="shared" si="64"/>
        <v>-799350</v>
      </c>
      <c r="J246" s="33"/>
    </row>
    <row r="247" spans="2:10" ht="19.5" customHeight="1">
      <c r="B247" s="59"/>
      <c r="C247" s="62" t="s">
        <v>34</v>
      </c>
      <c r="D247" s="61">
        <v>98884575</v>
      </c>
      <c r="E247" s="61">
        <v>1482000</v>
      </c>
      <c r="F247" s="61">
        <v>255496000</v>
      </c>
      <c r="G247" s="61"/>
      <c r="H247" s="61">
        <f>E247+F247+G247</f>
        <v>256978000</v>
      </c>
      <c r="I247" s="73">
        <f t="shared" si="64"/>
        <v>-158093425</v>
      </c>
      <c r="J247" s="33"/>
    </row>
    <row r="248" spans="2:10" ht="19.5" customHeight="1">
      <c r="B248" s="59"/>
      <c r="C248" s="62" t="s">
        <v>10</v>
      </c>
      <c r="D248" s="61">
        <v>3950525</v>
      </c>
      <c r="E248" s="61">
        <v>910000</v>
      </c>
      <c r="F248" s="61">
        <v>3260000</v>
      </c>
      <c r="G248" s="61"/>
      <c r="H248" s="61">
        <f>E248+F248+G248</f>
        <v>4170000</v>
      </c>
      <c r="I248" s="73">
        <f t="shared" si="64"/>
        <v>-219475</v>
      </c>
      <c r="J248" s="33"/>
    </row>
    <row r="249" spans="2:10" ht="19.5" customHeight="1">
      <c r="B249" s="59"/>
      <c r="C249" s="62" t="s">
        <v>35</v>
      </c>
      <c r="D249" s="61">
        <v>3951647</v>
      </c>
      <c r="E249" s="61">
        <v>3280000</v>
      </c>
      <c r="F249" s="61">
        <v>2897000</v>
      </c>
      <c r="G249" s="61"/>
      <c r="H249" s="61">
        <f>E249+F249+G249</f>
        <v>6177000</v>
      </c>
      <c r="I249" s="73">
        <f t="shared" si="64"/>
        <v>-2225353</v>
      </c>
      <c r="J249" s="33"/>
    </row>
    <row r="250" spans="2:10" s="6" customFormat="1" ht="21" customHeight="1">
      <c r="B250" s="69"/>
      <c r="C250" s="62" t="s">
        <v>41</v>
      </c>
      <c r="D250" s="73">
        <v>138466000</v>
      </c>
      <c r="E250" s="73"/>
      <c r="F250" s="73"/>
      <c r="G250" s="73"/>
      <c r="H250" s="61"/>
      <c r="I250" s="73">
        <f t="shared" si="64"/>
        <v>138466000</v>
      </c>
      <c r="J250" s="37"/>
    </row>
    <row r="251" spans="2:10" s="6" customFormat="1" ht="19.5" customHeight="1">
      <c r="B251" s="69"/>
      <c r="C251" s="57"/>
      <c r="D251" s="73"/>
      <c r="E251" s="73"/>
      <c r="F251" s="73"/>
      <c r="G251" s="73"/>
      <c r="H251" s="61"/>
      <c r="I251" s="73"/>
      <c r="J251" s="37"/>
    </row>
    <row r="252" spans="2:10" s="6" customFormat="1" ht="19.5" customHeight="1">
      <c r="B252" s="69"/>
      <c r="C252" s="57"/>
      <c r="D252" s="73"/>
      <c r="E252" s="73"/>
      <c r="F252" s="73"/>
      <c r="G252" s="73"/>
      <c r="H252" s="61"/>
      <c r="I252" s="73"/>
      <c r="J252" s="37"/>
    </row>
    <row r="253" spans="2:10" s="6" customFormat="1" ht="19.5" customHeight="1">
      <c r="B253" s="69"/>
      <c r="C253" s="57"/>
      <c r="D253" s="73"/>
      <c r="E253" s="73"/>
      <c r="F253" s="73"/>
      <c r="G253" s="73"/>
      <c r="H253" s="61"/>
      <c r="I253" s="73"/>
      <c r="J253" s="37"/>
    </row>
    <row r="254" spans="2:10" s="6" customFormat="1" ht="19.5" customHeight="1">
      <c r="B254" s="69"/>
      <c r="C254" s="57"/>
      <c r="D254" s="73"/>
      <c r="E254" s="73"/>
      <c r="F254" s="73"/>
      <c r="G254" s="73"/>
      <c r="H254" s="61"/>
      <c r="I254" s="73"/>
      <c r="J254" s="37"/>
    </row>
    <row r="255" spans="2:10" s="6" customFormat="1" ht="19.5" customHeight="1">
      <c r="B255" s="69"/>
      <c r="C255" s="57"/>
      <c r="D255" s="73"/>
      <c r="E255" s="73"/>
      <c r="F255" s="73"/>
      <c r="G255" s="73"/>
      <c r="H255" s="61"/>
      <c r="I255" s="73"/>
      <c r="J255" s="37"/>
    </row>
    <row r="256" spans="2:10" s="6" customFormat="1" ht="19.5" customHeight="1">
      <c r="B256" s="69"/>
      <c r="C256" s="57"/>
      <c r="D256" s="73"/>
      <c r="E256" s="73"/>
      <c r="F256" s="73"/>
      <c r="G256" s="73"/>
      <c r="H256" s="61"/>
      <c r="I256" s="73"/>
      <c r="J256" s="37"/>
    </row>
    <row r="257" spans="2:10" s="6" customFormat="1" ht="19.5" customHeight="1">
      <c r="B257" s="69"/>
      <c r="C257" s="57"/>
      <c r="D257" s="73"/>
      <c r="E257" s="73"/>
      <c r="F257" s="73"/>
      <c r="G257" s="73"/>
      <c r="H257" s="61"/>
      <c r="I257" s="73"/>
      <c r="J257" s="37"/>
    </row>
    <row r="258" spans="2:10" s="6" customFormat="1" ht="19.5" customHeight="1">
      <c r="B258" s="69"/>
      <c r="C258" s="57"/>
      <c r="D258" s="73"/>
      <c r="E258" s="73"/>
      <c r="F258" s="73"/>
      <c r="G258" s="73"/>
      <c r="H258" s="61"/>
      <c r="I258" s="73"/>
      <c r="J258" s="37"/>
    </row>
    <row r="259" spans="2:10" s="6" customFormat="1" ht="19.5" customHeight="1">
      <c r="B259" s="69"/>
      <c r="C259" s="57"/>
      <c r="D259" s="73"/>
      <c r="E259" s="73"/>
      <c r="F259" s="73"/>
      <c r="G259" s="73"/>
      <c r="H259" s="61"/>
      <c r="I259" s="73"/>
      <c r="J259" s="37"/>
    </row>
    <row r="260" spans="2:10" s="6" customFormat="1" ht="19.5" customHeight="1">
      <c r="B260" s="69"/>
      <c r="C260" s="57"/>
      <c r="D260" s="73"/>
      <c r="E260" s="73"/>
      <c r="F260" s="73"/>
      <c r="G260" s="73"/>
      <c r="H260" s="61"/>
      <c r="I260" s="73"/>
      <c r="J260" s="37"/>
    </row>
    <row r="261" spans="2:10" s="6" customFormat="1" ht="19.5" customHeight="1">
      <c r="B261" s="69"/>
      <c r="C261" s="57"/>
      <c r="D261" s="73"/>
      <c r="E261" s="73"/>
      <c r="F261" s="73"/>
      <c r="G261" s="73"/>
      <c r="H261" s="61"/>
      <c r="I261" s="73"/>
      <c r="J261" s="37"/>
    </row>
    <row r="262" spans="2:10" s="6" customFormat="1" ht="19.5" customHeight="1">
      <c r="B262" s="69"/>
      <c r="C262" s="57"/>
      <c r="D262" s="73"/>
      <c r="E262" s="73"/>
      <c r="F262" s="73"/>
      <c r="G262" s="73"/>
      <c r="H262" s="61"/>
      <c r="I262" s="73"/>
      <c r="J262" s="37"/>
    </row>
    <row r="263" spans="2:10" s="6" customFormat="1" ht="19.5" customHeight="1">
      <c r="B263" s="69"/>
      <c r="C263" s="57"/>
      <c r="D263" s="73"/>
      <c r="E263" s="73"/>
      <c r="F263" s="73"/>
      <c r="G263" s="73"/>
      <c r="H263" s="61"/>
      <c r="I263" s="73"/>
      <c r="J263" s="37"/>
    </row>
    <row r="264" spans="2:10" s="6" customFormat="1" ht="19.5" customHeight="1">
      <c r="B264" s="69"/>
      <c r="C264" s="57"/>
      <c r="D264" s="73"/>
      <c r="E264" s="73"/>
      <c r="F264" s="73"/>
      <c r="G264" s="73"/>
      <c r="H264" s="61"/>
      <c r="I264" s="73"/>
      <c r="J264" s="37"/>
    </row>
    <row r="265" spans="2:10" s="6" customFormat="1" ht="19.5" customHeight="1">
      <c r="B265" s="69"/>
      <c r="C265" s="57"/>
      <c r="D265" s="73"/>
      <c r="E265" s="73"/>
      <c r="F265" s="73"/>
      <c r="G265" s="73"/>
      <c r="H265" s="61"/>
      <c r="I265" s="73"/>
      <c r="J265" s="37"/>
    </row>
    <row r="266" spans="2:10" s="6" customFormat="1" ht="19.5" customHeight="1">
      <c r="B266" s="69"/>
      <c r="C266" s="57"/>
      <c r="D266" s="73"/>
      <c r="E266" s="73"/>
      <c r="F266" s="73"/>
      <c r="G266" s="73"/>
      <c r="H266" s="61"/>
      <c r="I266" s="73"/>
      <c r="J266" s="37"/>
    </row>
    <row r="267" spans="2:10" s="6" customFormat="1" ht="19.5" customHeight="1">
      <c r="B267" s="69"/>
      <c r="C267" s="57"/>
      <c r="D267" s="73"/>
      <c r="E267" s="73"/>
      <c r="F267" s="73"/>
      <c r="G267" s="73"/>
      <c r="H267" s="61"/>
      <c r="I267" s="73"/>
      <c r="J267" s="37"/>
    </row>
    <row r="268" spans="2:10" s="6" customFormat="1" ht="19.5" customHeight="1">
      <c r="B268" s="69"/>
      <c r="C268" s="57"/>
      <c r="D268" s="73"/>
      <c r="E268" s="73"/>
      <c r="F268" s="73"/>
      <c r="G268" s="73"/>
      <c r="H268" s="61"/>
      <c r="I268" s="73"/>
      <c r="J268" s="37"/>
    </row>
    <row r="269" spans="2:10" s="6" customFormat="1" ht="19.5" customHeight="1">
      <c r="B269" s="69"/>
      <c r="C269" s="57"/>
      <c r="D269" s="73"/>
      <c r="E269" s="73"/>
      <c r="F269" s="73"/>
      <c r="G269" s="73"/>
      <c r="H269" s="61"/>
      <c r="I269" s="73"/>
      <c r="J269" s="37"/>
    </row>
    <row r="270" spans="2:10" s="6" customFormat="1" ht="19.5" customHeight="1">
      <c r="B270" s="69"/>
      <c r="C270" s="57"/>
      <c r="D270" s="73"/>
      <c r="E270" s="73"/>
      <c r="F270" s="73"/>
      <c r="G270" s="73"/>
      <c r="H270" s="61"/>
      <c r="I270" s="73"/>
      <c r="J270" s="37"/>
    </row>
    <row r="271" spans="2:10" s="6" customFormat="1" ht="19.5" customHeight="1">
      <c r="B271" s="69"/>
      <c r="C271" s="57"/>
      <c r="D271" s="73"/>
      <c r="E271" s="73"/>
      <c r="F271" s="73"/>
      <c r="G271" s="73"/>
      <c r="H271" s="61"/>
      <c r="I271" s="73"/>
      <c r="J271" s="37"/>
    </row>
    <row r="272" spans="2:10" s="6" customFormat="1" ht="19.5" customHeight="1">
      <c r="B272" s="69"/>
      <c r="C272" s="57"/>
      <c r="D272" s="73"/>
      <c r="E272" s="73"/>
      <c r="F272" s="73" t="s">
        <v>54</v>
      </c>
      <c r="G272" s="73"/>
      <c r="H272" s="61"/>
      <c r="I272" s="73"/>
      <c r="J272" s="37"/>
    </row>
    <row r="273" spans="2:10" s="6" customFormat="1" ht="19.5" customHeight="1">
      <c r="B273" s="69"/>
      <c r="C273" s="57"/>
      <c r="D273" s="73"/>
      <c r="E273" s="73"/>
      <c r="F273" s="73"/>
      <c r="G273" s="73"/>
      <c r="H273" s="61"/>
      <c r="I273" s="73"/>
      <c r="J273" s="37"/>
    </row>
    <row r="274" spans="2:10" s="6" customFormat="1" ht="19.5" customHeight="1">
      <c r="B274" s="69"/>
      <c r="C274" s="57"/>
      <c r="D274" s="73"/>
      <c r="E274" s="73"/>
      <c r="F274" s="73"/>
      <c r="G274" s="73"/>
      <c r="H274" s="61"/>
      <c r="I274" s="73"/>
      <c r="J274" s="37"/>
    </row>
    <row r="275" spans="2:10" s="6" customFormat="1" ht="19.5" customHeight="1">
      <c r="B275" s="69"/>
      <c r="C275" s="57"/>
      <c r="D275" s="73"/>
      <c r="E275" s="73"/>
      <c r="F275" s="73"/>
      <c r="G275" s="73"/>
      <c r="H275" s="61"/>
      <c r="I275" s="73"/>
      <c r="J275" s="37"/>
    </row>
    <row r="276" spans="2:10" s="6" customFormat="1" ht="19.5" customHeight="1">
      <c r="B276" s="69"/>
      <c r="C276" s="57"/>
      <c r="D276" s="73"/>
      <c r="E276" s="73"/>
      <c r="F276" s="73"/>
      <c r="G276" s="73"/>
      <c r="H276" s="61"/>
      <c r="I276" s="73"/>
      <c r="J276" s="37"/>
    </row>
    <row r="277" spans="2:10" s="6" customFormat="1" ht="19.5" customHeight="1">
      <c r="B277" s="69"/>
      <c r="C277" s="57"/>
      <c r="D277" s="73"/>
      <c r="E277" s="73"/>
      <c r="F277" s="73"/>
      <c r="G277" s="73"/>
      <c r="H277" s="61"/>
      <c r="I277" s="73"/>
      <c r="J277" s="37"/>
    </row>
    <row r="278" spans="2:10" ht="19.5" customHeight="1">
      <c r="B278" s="59"/>
      <c r="C278" s="57"/>
      <c r="D278" s="61"/>
      <c r="E278" s="61"/>
      <c r="F278" s="61"/>
      <c r="G278" s="61"/>
      <c r="H278" s="61"/>
      <c r="I278" s="61"/>
      <c r="J278" s="33"/>
    </row>
    <row r="279" spans="2:10" ht="19.5" customHeight="1">
      <c r="B279" s="92" t="s">
        <v>55</v>
      </c>
      <c r="C279" s="57"/>
      <c r="D279" s="58">
        <f aca="true" t="shared" si="65" ref="D279:I279">D7+D17+D97+D160+D166+D225+D233+D242</f>
        <v>226450044204.65002</v>
      </c>
      <c r="E279" s="58">
        <f t="shared" si="65"/>
        <v>91967885150.99002</v>
      </c>
      <c r="F279" s="58">
        <f t="shared" si="65"/>
        <v>211192644000</v>
      </c>
      <c r="G279" s="58">
        <f t="shared" si="65"/>
        <v>2711077693</v>
      </c>
      <c r="H279" s="58">
        <f t="shared" si="65"/>
        <v>305871606843.99</v>
      </c>
      <c r="I279" s="58">
        <f t="shared" si="65"/>
        <v>-79421562639.34</v>
      </c>
      <c r="J279" s="7">
        <f>J7+J17+J97+J166+J233+J242</f>
        <v>0</v>
      </c>
    </row>
    <row r="280" spans="2:9" ht="19.5" customHeight="1" thickBot="1">
      <c r="B280" s="82"/>
      <c r="C280" s="82"/>
      <c r="D280" s="83"/>
      <c r="E280" s="83"/>
      <c r="F280" s="83"/>
      <c r="G280" s="83"/>
      <c r="H280" s="83"/>
      <c r="I280" s="93" t="s">
        <v>1</v>
      </c>
    </row>
    <row r="281" spans="2:11" ht="19.5" customHeight="1">
      <c r="B281" s="54" t="str">
        <f>"按業別分析：水電燃氣業"&amp;TEXT(D287,"#,##0.00")&amp;"元，占"&amp;TEXT(C287,"#,##0.00")&amp;"％；運輸、倉儲及通信業"&amp;TEXT(D288,"#,##0.00")&amp;"元，占"&amp;TEXT(C288,"#,##0.00")&amp;"％；製造業"&amp;TEXT(D286,"#,##0.00")&amp;"元，占"&amp;TEXT(C286,"#,##0.00")&amp;"％；"</f>
        <v>按業別分析：水電燃氣業135,283,799,350.53元，占59.74％；運輸、倉儲及通信業68,499,003,636.45元，占30.25％；製造業19,445,497,151.92元，占8.59％；</v>
      </c>
      <c r="C281" s="35"/>
      <c r="D281" s="32"/>
      <c r="E281" s="32"/>
      <c r="F281" s="32"/>
      <c r="G281" s="32"/>
      <c r="H281" s="32"/>
      <c r="I281" s="32"/>
      <c r="K281" s="4"/>
    </row>
    <row r="282" spans="2:9" ht="19.5" customHeight="1">
      <c r="B282" s="111" t="str">
        <f>"            金融、保險及不動產業"&amp;TEXT(D289,"#,##0.00")&amp;"元，占"&amp;TEXT(C289,"#,##0.00")&amp;"％；批發、零售及餐飲業"&amp;TEXT(D290,"#,##0.00")&amp;"元；營造業"&amp;TEXT(D291,"#,##0.00")&amp;"元，占"&amp;TEXT(C291,"#,##0.00")&amp;"％"</f>
        <v>            金融、保險及不動產業3,007,996,516.39元，占1.33％；批發、零售及餐飲業1,679,715.00元；營造業212,067,834.36元，占0.09％</v>
      </c>
      <c r="C282" s="111"/>
      <c r="D282" s="111"/>
      <c r="E282" s="111"/>
      <c r="F282" s="111"/>
      <c r="G282" s="111"/>
      <c r="H282" s="111"/>
      <c r="I282" s="111"/>
    </row>
    <row r="283" spans="2:9" ht="19.5" customHeight="1">
      <c r="B283" s="43"/>
      <c r="D283" s="32"/>
      <c r="E283" s="2"/>
      <c r="F283" s="2"/>
      <c r="G283" s="2"/>
      <c r="H283" s="2"/>
      <c r="I283" s="2"/>
    </row>
    <row r="284" spans="4:9" ht="15.75">
      <c r="D284" s="32"/>
      <c r="E284" s="2"/>
      <c r="F284" s="2"/>
      <c r="G284" s="2"/>
      <c r="H284" s="2"/>
      <c r="I284" s="2"/>
    </row>
    <row r="285" spans="2:10" ht="18.75" customHeight="1">
      <c r="B285" s="40" t="s">
        <v>18</v>
      </c>
      <c r="C285" s="22" t="s">
        <v>12</v>
      </c>
      <c r="D285" s="28" t="s">
        <v>19</v>
      </c>
      <c r="E285" s="20" t="s">
        <v>7</v>
      </c>
      <c r="F285" s="21" t="s">
        <v>8</v>
      </c>
      <c r="G285" s="20" t="s">
        <v>20</v>
      </c>
      <c r="H285" s="21" t="s">
        <v>13</v>
      </c>
      <c r="I285" s="23" t="s">
        <v>14</v>
      </c>
      <c r="J285" s="24" t="s">
        <v>15</v>
      </c>
    </row>
    <row r="286" spans="2:10" ht="16.5">
      <c r="B286" s="41" t="s">
        <v>16</v>
      </c>
      <c r="C286" s="35">
        <f aca="true" t="shared" si="66" ref="C286:C291">(+D286/$D$279)*100</f>
        <v>8.587102387291429</v>
      </c>
      <c r="D286" s="34">
        <f aca="true" t="shared" si="67" ref="D286:I286">D19+D29+D36+D43+D60+D68+D75+D81+D145+D152</f>
        <v>19445497151.92</v>
      </c>
      <c r="E286" s="34">
        <f t="shared" si="67"/>
        <v>6777242172.94</v>
      </c>
      <c r="F286" s="34">
        <f t="shared" si="67"/>
        <v>20245996000</v>
      </c>
      <c r="G286" s="34">
        <f t="shared" si="67"/>
        <v>187921508</v>
      </c>
      <c r="H286" s="34">
        <f t="shared" si="67"/>
        <v>27211159680.940002</v>
      </c>
      <c r="I286" s="34">
        <f t="shared" si="67"/>
        <v>-7765662529.02</v>
      </c>
      <c r="J286" s="35">
        <f aca="true" t="shared" si="68" ref="J286:J291">(+I286/H286)*100</f>
        <v>-28.538521033557572</v>
      </c>
    </row>
    <row r="287" spans="2:10" ht="16.5">
      <c r="B287" s="41" t="s">
        <v>27</v>
      </c>
      <c r="C287" s="35">
        <f t="shared" si="66"/>
        <v>59.74112295967131</v>
      </c>
      <c r="D287" s="34">
        <f aca="true" t="shared" si="69" ref="D287:I287">D51+D89</f>
        <v>135283799350.53</v>
      </c>
      <c r="E287" s="34">
        <f t="shared" si="69"/>
        <v>63145016133.01</v>
      </c>
      <c r="F287" s="34">
        <f t="shared" si="69"/>
        <v>125292352000</v>
      </c>
      <c r="G287" s="34">
        <f t="shared" si="69"/>
        <v>2040737000</v>
      </c>
      <c r="H287" s="34">
        <f t="shared" si="69"/>
        <v>190478105133.01</v>
      </c>
      <c r="I287" s="34">
        <f t="shared" si="69"/>
        <v>-55194305782.48</v>
      </c>
      <c r="J287" s="35">
        <f t="shared" si="68"/>
        <v>-28.97671926331799</v>
      </c>
    </row>
    <row r="288" spans="2:10" ht="33">
      <c r="B288" s="41" t="s">
        <v>28</v>
      </c>
      <c r="C288" s="35">
        <f t="shared" si="66"/>
        <v>30.249057304022998</v>
      </c>
      <c r="D288" s="45">
        <f aca="true" t="shared" si="70" ref="D288:I288">D168+D175+D184+D192+D200+D209+D218</f>
        <v>68499003636.45</v>
      </c>
      <c r="E288" s="45">
        <f t="shared" si="70"/>
        <v>21144626698.04</v>
      </c>
      <c r="F288" s="45">
        <f t="shared" si="70"/>
        <v>62153023000</v>
      </c>
      <c r="G288" s="45">
        <f t="shared" si="70"/>
        <v>406419185</v>
      </c>
      <c r="H288" s="45">
        <f t="shared" si="70"/>
        <v>83704068883.04</v>
      </c>
      <c r="I288" s="45">
        <f t="shared" si="70"/>
        <v>-15205065246.590002</v>
      </c>
      <c r="J288" s="35">
        <f t="shared" si="68"/>
        <v>-18.16526418546761</v>
      </c>
    </row>
    <row r="289" spans="2:10" ht="33">
      <c r="B289" s="41" t="s">
        <v>29</v>
      </c>
      <c r="C289" s="35">
        <f t="shared" si="66"/>
        <v>1.328326751692563</v>
      </c>
      <c r="D289" s="34">
        <f aca="true" t="shared" si="71" ref="D289:I289">D9+D99+D105+D113+D120+D129+D138+D235+D244</f>
        <v>3007996516.3900003</v>
      </c>
      <c r="E289" s="34">
        <f t="shared" si="71"/>
        <v>649992351</v>
      </c>
      <c r="F289" s="34">
        <f t="shared" si="71"/>
        <v>3268462000</v>
      </c>
      <c r="G289" s="34">
        <f t="shared" si="71"/>
        <v>76000000</v>
      </c>
      <c r="H289" s="34">
        <f t="shared" si="71"/>
        <v>3994454351</v>
      </c>
      <c r="I289" s="34">
        <f t="shared" si="71"/>
        <v>-986457834.61</v>
      </c>
      <c r="J289" s="35">
        <f t="shared" si="68"/>
        <v>-24.695684264436345</v>
      </c>
    </row>
    <row r="290" spans="2:10" ht="33">
      <c r="B290" s="41" t="s">
        <v>30</v>
      </c>
      <c r="C290" s="35">
        <f t="shared" si="66"/>
        <v>0.0007417596255719821</v>
      </c>
      <c r="D290" s="34">
        <f aca="true" t="shared" si="72" ref="D290:I290">D162</f>
        <v>1679715</v>
      </c>
      <c r="E290" s="34">
        <f t="shared" si="72"/>
        <v>1470000</v>
      </c>
      <c r="F290" s="34">
        <f t="shared" si="72"/>
        <v>940000</v>
      </c>
      <c r="G290" s="34">
        <f t="shared" si="72"/>
        <v>0</v>
      </c>
      <c r="H290" s="34">
        <f t="shared" si="72"/>
        <v>2410000</v>
      </c>
      <c r="I290" s="34">
        <f t="shared" si="72"/>
        <v>-730285</v>
      </c>
      <c r="J290" s="35">
        <f t="shared" si="68"/>
        <v>-30.30228215767635</v>
      </c>
    </row>
    <row r="291" spans="2:10" ht="16.5">
      <c r="B291" s="42" t="s">
        <v>25</v>
      </c>
      <c r="C291" s="35">
        <f t="shared" si="66"/>
        <v>0.09364883769611791</v>
      </c>
      <c r="D291" s="34">
        <f aca="true" t="shared" si="73" ref="D291:I291">D227</f>
        <v>212067834.35999998</v>
      </c>
      <c r="E291" s="34">
        <f t="shared" si="73"/>
        <v>249537796</v>
      </c>
      <c r="F291" s="34">
        <f t="shared" si="73"/>
        <v>231871000</v>
      </c>
      <c r="G291" s="34">
        <f t="shared" si="73"/>
        <v>0</v>
      </c>
      <c r="H291" s="34">
        <f t="shared" si="73"/>
        <v>481408796</v>
      </c>
      <c r="I291" s="34">
        <f t="shared" si="73"/>
        <v>-269340961.64</v>
      </c>
      <c r="J291" s="35">
        <f t="shared" si="68"/>
        <v>-55.94849198393126</v>
      </c>
    </row>
    <row r="293" spans="2:10" ht="16.5">
      <c r="B293" s="25" t="s">
        <v>11</v>
      </c>
      <c r="C293" s="26">
        <f>SUM(C286:C292)</f>
        <v>99.99999999999999</v>
      </c>
      <c r="D293" s="27">
        <f aca="true" t="shared" si="74" ref="D293:I293">SUM(D286:D291)</f>
        <v>226450044204.65002</v>
      </c>
      <c r="E293" s="27">
        <f t="shared" si="74"/>
        <v>91967885150.98999</v>
      </c>
      <c r="F293" s="27">
        <f t="shared" si="74"/>
        <v>211192644000</v>
      </c>
      <c r="G293" s="27">
        <f t="shared" si="74"/>
        <v>2711077693</v>
      </c>
      <c r="H293" s="27">
        <f t="shared" si="74"/>
        <v>305871606843.99</v>
      </c>
      <c r="I293" s="27">
        <f t="shared" si="74"/>
        <v>-79421562639.34</v>
      </c>
      <c r="J293" s="26">
        <f>(+I293/H293)*100</f>
        <v>-25.96565384372176</v>
      </c>
    </row>
  </sheetData>
  <mergeCells count="7">
    <mergeCell ref="B225:C225"/>
    <mergeCell ref="B242:C242"/>
    <mergeCell ref="B282:I282"/>
    <mergeCell ref="B4:B5"/>
    <mergeCell ref="C4:C5"/>
    <mergeCell ref="D4:D5"/>
    <mergeCell ref="I4:I5"/>
  </mergeCells>
  <printOptions horizontalCentered="1"/>
  <pageMargins left="0" right="0" top="0.7874015748031497" bottom="0.7874015748031497" header="0.5118110236220472" footer="0.5118110236220472"/>
  <pageSetup fitToHeight="7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134</dc:title>
  <dc:subject>134</dc:subject>
  <dc:creator>行政院主計處</dc:creator>
  <cp:keywords/>
  <dc:description> </dc:description>
  <cp:lastModifiedBy>Administrator</cp:lastModifiedBy>
  <cp:lastPrinted>2003-04-25T07:40:49Z</cp:lastPrinted>
  <dcterms:created xsi:type="dcterms:W3CDTF">2001-03-22T01:02:13Z</dcterms:created>
  <dcterms:modified xsi:type="dcterms:W3CDTF">2008-11-13T10:28:53Z</dcterms:modified>
  <cp:category>I14</cp:category>
  <cp:version/>
  <cp:contentType/>
  <cp:contentStatus/>
</cp:coreProperties>
</file>