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385" windowHeight="3675" tabRatio="531" activeTab="0"/>
  </bookViews>
  <sheets>
    <sheet name="92決" sheetId="1" r:id="rId1"/>
    <sheet name="92預" sheetId="2" r:id="rId2"/>
  </sheets>
  <definedNames>
    <definedName name="_xlnm.Print_Area" localSheetId="0">'92決'!$A$1:$M$89</definedName>
    <definedName name="_xlnm.Print_Area" localSheetId="1">'92預'!$A$1:$M$81</definedName>
    <definedName name="_xlnm.Print_Titles" localSheetId="0">'92決'!$1:$5</definedName>
    <definedName name="_xlnm.Print_Titles" localSheetId="1">'92預'!$1:$5</definedName>
  </definedNames>
  <calcPr fullCalcOnLoad="1"/>
</workbook>
</file>

<file path=xl/sharedStrings.xml><?xml version="1.0" encoding="utf-8"?>
<sst xmlns="http://schemas.openxmlformats.org/spreadsheetml/2006/main" count="156" uniqueCount="69">
  <si>
    <r>
      <t>用人費用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丁</t>
    </r>
  </si>
  <si>
    <t xml:space="preserve"> </t>
  </si>
  <si>
    <t>算</t>
  </si>
  <si>
    <t>數</t>
  </si>
  <si>
    <t>機關名稱</t>
  </si>
  <si>
    <t>正式員額薪資</t>
  </si>
  <si>
    <t>臨時員額薪資</t>
  </si>
  <si>
    <t>超時工作報酬</t>
  </si>
  <si>
    <t>津貼</t>
  </si>
  <si>
    <t>獎金</t>
  </si>
  <si>
    <t>福利費</t>
  </si>
  <si>
    <t>提繳費</t>
  </si>
  <si>
    <t>合計</t>
  </si>
  <si>
    <t xml:space="preserve"> 行   政   院   主   管</t>
  </si>
  <si>
    <t xml:space="preserve"> 經   濟   部   主   管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</si>
  <si>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</si>
  <si>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</si>
  <si>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</si>
  <si>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</si>
  <si>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</si>
  <si>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 xml:space="preserve"> 財   政   部   主   管</t>
  </si>
  <si>
    <t>中央存款保險股份有限公司</t>
  </si>
  <si>
    <t xml:space="preserve"> 交   通   部   主   管</t>
  </si>
  <si>
    <t>中華電信股份有限公司</t>
  </si>
  <si>
    <t>勞工保險局</t>
  </si>
  <si>
    <t>中央健康保險局</t>
  </si>
  <si>
    <r>
      <t>丁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用人費用</t>
    </r>
  </si>
  <si>
    <r>
      <t xml:space="preserve">       </t>
    </r>
    <r>
      <rPr>
        <sz val="12"/>
        <rFont val="新細明體"/>
        <family val="1"/>
      </rPr>
      <t>決</t>
    </r>
    <r>
      <rPr>
        <sz val="12"/>
        <rFont val="Times New Roman"/>
        <family val="1"/>
      </rPr>
      <t xml:space="preserve">                          </t>
    </r>
  </si>
  <si>
    <t>資 遣 費</t>
  </si>
  <si>
    <r>
      <t>預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</si>
  <si>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r>
      <t>中央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  <r>
      <rPr>
        <sz val="10"/>
        <rFont val="Times New Roman"/>
        <family val="1"/>
      </rPr>
      <t xml:space="preserve">    </t>
    </r>
  </si>
  <si>
    <r>
      <t xml:space="preserve"> </t>
    </r>
    <r>
      <rPr>
        <sz val="10"/>
        <rFont val="新細明體"/>
        <family val="1"/>
      </rPr>
      <t>國內部分</t>
    </r>
  </si>
  <si>
    <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外部分</t>
    </r>
  </si>
  <si>
    <r>
      <t>中國輸出入銀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行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</si>
  <si>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</si>
  <si>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唐榮鐵工廠股份有限公司</t>
  </si>
  <si>
    <t>臺灣省自來水股份有限公司</t>
  </si>
  <si>
    <t>財政部印刷廠</t>
  </si>
  <si>
    <t>榮民工程股份有限公司</t>
  </si>
  <si>
    <t xml:space="preserve">  總            計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</si>
  <si>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</t>
    </r>
  </si>
  <si>
    <r>
      <t>退</t>
    </r>
    <r>
      <rPr>
        <sz val="12"/>
        <rFont val="新細明體"/>
        <family val="1"/>
      </rPr>
      <t>休及</t>
    </r>
    <r>
      <rPr>
        <sz val="12"/>
        <rFont val="新細明體"/>
        <family val="1"/>
      </rPr>
      <t>卹</t>
    </r>
    <r>
      <rPr>
        <sz val="12"/>
        <rFont val="新細明體"/>
        <family val="1"/>
      </rPr>
      <t>償金</t>
    </r>
    <r>
      <rPr>
        <sz val="12"/>
        <rFont val="Times New Roman"/>
        <family val="1"/>
      </rPr>
      <t xml:space="preserve">  </t>
    </r>
  </si>
  <si>
    <t>合作金庫銀行股份有限公司</t>
  </si>
  <si>
    <r>
      <t>退</t>
    </r>
    <r>
      <rPr>
        <sz val="12"/>
        <rFont val="新細明體"/>
        <family val="1"/>
      </rPr>
      <t>休及</t>
    </r>
    <r>
      <rPr>
        <sz val="12"/>
        <rFont val="新細明體"/>
        <family val="1"/>
      </rPr>
      <t>卹</t>
    </r>
    <r>
      <rPr>
        <sz val="12"/>
        <rFont val="新細明體"/>
        <family val="1"/>
      </rPr>
      <t>償金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</si>
  <si>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0"/>
        <rFont val="新細明體"/>
        <family val="1"/>
      </rPr>
      <t>國內部分</t>
    </r>
  </si>
  <si>
    <r>
      <t xml:space="preserve"> </t>
    </r>
    <r>
      <rPr>
        <sz val="10"/>
        <rFont val="新細明體"/>
        <family val="1"/>
      </rPr>
      <t>國外部分</t>
    </r>
  </si>
  <si>
    <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           </t>
    </r>
  </si>
  <si>
    <t>資  本  支  出          用  人  費  用</t>
  </si>
  <si>
    <t xml:space="preserve"> 退   輔   會   主   管</t>
  </si>
  <si>
    <t xml:space="preserve"> 勞   委   會   主   管</t>
  </si>
  <si>
    <t xml:space="preserve"> 衛   生   署   主   管</t>
  </si>
  <si>
    <t>單位：新臺幣元</t>
  </si>
  <si>
    <t>交通部臺灣鐵路局</t>
  </si>
  <si>
    <t>交通部基隆港務局</t>
  </si>
  <si>
    <t>交通部臺中港務局</t>
  </si>
  <si>
    <t>交通部高雄港務局</t>
  </si>
  <si>
    <t>交通部花蓮港務局</t>
  </si>
  <si>
    <t>臺灣菸酒股份有限公司</t>
  </si>
  <si>
    <r>
      <t xml:space="preserve">                            </t>
    </r>
    <r>
      <rPr>
        <b/>
        <sz val="20"/>
        <rFont val="華康特粗明體"/>
        <family val="3"/>
      </rPr>
      <t>綜     計     表(續)</t>
    </r>
  </si>
  <si>
    <r>
      <t>丁四、</t>
    </r>
    <r>
      <rPr>
        <b/>
        <sz val="20"/>
        <rFont val="Times New Roman"/>
        <family val="1"/>
      </rPr>
      <t xml:space="preserve">   </t>
    </r>
    <r>
      <rPr>
        <b/>
        <sz val="20"/>
        <rFont val="華康特粗明體"/>
        <family val="3"/>
      </rPr>
      <t>用     人     費     用</t>
    </r>
  </si>
  <si>
    <t>中華郵政股份有限公司</t>
  </si>
  <si>
    <t>臺灣銀行
(臺灣銀行股份有限公司)</t>
  </si>
  <si>
    <t>中央信託局
(中央信託局股份有限公司)</t>
  </si>
  <si>
    <t>臺灣土地銀行
(臺灣土地銀行股份有限公司)</t>
  </si>
  <si>
    <t xml:space="preserve">                              丁四、用   人   費    用</t>
  </si>
  <si>
    <r>
      <t xml:space="preserve">                                 </t>
    </r>
    <r>
      <rPr>
        <b/>
        <sz val="20"/>
        <rFont val="華康特粗明體"/>
        <family val="3"/>
      </rPr>
      <t>綜     計     表   (續)</t>
    </r>
  </si>
  <si>
    <t xml:space="preserve"> 行政院勞工委員會主管</t>
  </si>
  <si>
    <t xml:space="preserve"> 行政院衛生署主管</t>
  </si>
  <si>
    <t xml:space="preserve"> 行政院國軍退除役官兵輔導委員會主管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</si>
</sst>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#,##0.00_ "/>
    <numFmt numFmtId="187" formatCode="_-#,##0_-;\-* #,##0_-;_-\ &quot;&quot;_-"/>
    <numFmt numFmtId="188" formatCode="_-\ #,##0.00_-;\-* #,##0.00_-;_-\ &quot;&quot;_-"/>
    <numFmt numFmtId="189" formatCode="0.00_);[Red]\(0.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0"/>
      <name val="華康特粗明體"/>
      <family val="3"/>
    </font>
    <font>
      <b/>
      <sz val="12"/>
      <name val="華康中黑體"/>
      <family val="3"/>
    </font>
    <font>
      <sz val="14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name val="華康中黑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20"/>
      <name val="華康特粗明體"/>
      <family val="3"/>
    </font>
    <font>
      <b/>
      <sz val="20"/>
      <name val="Times New Roman"/>
      <family val="1"/>
    </font>
    <font>
      <sz val="9"/>
      <name val="細明體"/>
      <family val="3"/>
    </font>
    <font>
      <b/>
      <sz val="9"/>
      <name val="華康中黑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8" fontId="7" fillId="0" borderId="0" xfId="0" applyNumberFormat="1" applyFont="1" applyAlignment="1" quotePrefix="1">
      <alignment horizontal="left" vertical="center"/>
    </xf>
    <xf numFmtId="188" fontId="7" fillId="0" borderId="0" xfId="0" applyNumberFormat="1" applyFont="1" applyAlignment="1" quotePrefix="1">
      <alignment horizontal="left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right" vertical="center" wrapText="1"/>
    </xf>
    <xf numFmtId="188" fontId="0" fillId="0" borderId="0" xfId="0" applyNumberFormat="1" applyAlignment="1">
      <alignment/>
    </xf>
    <xf numFmtId="188" fontId="7" fillId="0" borderId="0" xfId="0" applyNumberFormat="1" applyFont="1" applyAlignment="1" quotePrefix="1">
      <alignment horizontal="right" vertical="center"/>
    </xf>
    <xf numFmtId="188" fontId="0" fillId="0" borderId="0" xfId="0" applyNumberFormat="1" applyAlignment="1">
      <alignment horizontal="center" vertical="center" wrapText="1"/>
    </xf>
    <xf numFmtId="188" fontId="4" fillId="0" borderId="0" xfId="0" applyNumberFormat="1" applyFont="1" applyAlignment="1">
      <alignment horizontal="centerContinuous" vertical="center" wrapText="1"/>
    </xf>
    <xf numFmtId="188" fontId="13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centerContinuous" vertical="center"/>
    </xf>
    <xf numFmtId="188" fontId="6" fillId="0" borderId="0" xfId="0" applyNumberFormat="1" applyFont="1" applyAlignment="1">
      <alignment horizontal="left" vertical="center" wrapText="1"/>
    </xf>
    <xf numFmtId="188" fontId="0" fillId="0" borderId="0" xfId="0" applyNumberFormat="1" applyFont="1" applyAlignment="1">
      <alignment horizontal="centerContinuous" vertical="center" wrapText="1"/>
    </xf>
    <xf numFmtId="188" fontId="0" fillId="0" borderId="0" xfId="0" applyNumberFormat="1" applyAlignment="1">
      <alignment horizontal="centerContinuous" vertical="center" wrapText="1"/>
    </xf>
    <xf numFmtId="188" fontId="1" fillId="0" borderId="0" xfId="0" applyNumberFormat="1" applyFont="1" applyAlignment="1">
      <alignment horizontal="centerContinuous" vertical="center" wrapText="1"/>
    </xf>
    <xf numFmtId="188" fontId="7" fillId="0" borderId="1" xfId="0" applyNumberFormat="1" applyFont="1" applyBorder="1" applyAlignment="1">
      <alignment horizontal="centerContinuous" vertical="center" wrapText="1"/>
    </xf>
    <xf numFmtId="188" fontId="0" fillId="0" borderId="2" xfId="0" applyNumberFormat="1" applyFont="1" applyBorder="1" applyAlignment="1">
      <alignment horizontal="center" vertical="center" wrapText="1"/>
    </xf>
    <xf numFmtId="188" fontId="0" fillId="0" borderId="1" xfId="0" applyNumberFormat="1" applyBorder="1" applyAlignment="1" quotePrefix="1">
      <alignment horizontal="center" vertical="center" wrapText="1"/>
    </xf>
    <xf numFmtId="188" fontId="0" fillId="0" borderId="1" xfId="0" applyNumberFormat="1" applyBorder="1" applyAlignment="1">
      <alignment vertical="center" wrapText="1"/>
    </xf>
    <xf numFmtId="188" fontId="0" fillId="0" borderId="1" xfId="0" applyNumberFormat="1" applyBorder="1" applyAlignment="1">
      <alignment horizontal="centerContinuous" vertical="center" wrapText="1"/>
    </xf>
    <xf numFmtId="188" fontId="7" fillId="0" borderId="1" xfId="0" applyNumberFormat="1" applyFont="1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 wrapText="1"/>
    </xf>
    <xf numFmtId="188" fontId="7" fillId="0" borderId="3" xfId="0" applyNumberFormat="1" applyFont="1" applyBorder="1" applyAlignment="1">
      <alignment horizontal="distributed" vertical="top" wrapText="1"/>
    </xf>
    <xf numFmtId="188" fontId="7" fillId="0" borderId="4" xfId="0" applyNumberFormat="1" applyFont="1" applyBorder="1" applyAlignment="1">
      <alignment horizontal="center" vertical="center" wrapText="1"/>
    </xf>
    <xf numFmtId="188" fontId="7" fillId="0" borderId="4" xfId="0" applyNumberFormat="1" applyFont="1" applyBorder="1" applyAlignment="1" quotePrefix="1">
      <alignment horizontal="distributed" vertical="center" wrapText="1"/>
    </xf>
    <xf numFmtId="188" fontId="7" fillId="0" borderId="4" xfId="0" applyNumberFormat="1" applyFont="1" applyBorder="1" applyAlignment="1">
      <alignment horizontal="distributed" vertical="center" wrapText="1"/>
    </xf>
    <xf numFmtId="188" fontId="7" fillId="0" borderId="4" xfId="0" applyNumberFormat="1" applyFont="1" applyBorder="1" applyAlignment="1" quotePrefix="1">
      <alignment horizontal="distributed" vertical="center"/>
    </xf>
    <xf numFmtId="188" fontId="7" fillId="0" borderId="5" xfId="0" applyNumberFormat="1" applyFont="1" applyBorder="1" applyAlignment="1">
      <alignment horizontal="distributed" vertical="center" wrapText="1"/>
    </xf>
    <xf numFmtId="188" fontId="11" fillId="0" borderId="0" xfId="0" applyNumberFormat="1" applyFont="1" applyAlignment="1">
      <alignment horizontal="right" vertical="center" wrapText="1"/>
    </xf>
    <xf numFmtId="188" fontId="9" fillId="0" borderId="1" xfId="0" applyNumberFormat="1" applyFont="1" applyBorder="1" applyAlignment="1" applyProtection="1" quotePrefix="1">
      <alignment horizontal="center" vertical="center"/>
      <protection/>
    </xf>
    <xf numFmtId="188" fontId="10" fillId="0" borderId="0" xfId="0" applyNumberFormat="1" applyFont="1" applyAlignment="1">
      <alignment horizontal="right" vertical="center" wrapText="1"/>
    </xf>
    <xf numFmtId="188" fontId="11" fillId="0" borderId="0" xfId="0" applyNumberFormat="1" applyFont="1" applyAlignment="1">
      <alignment horizontal="center" vertical="center" wrapText="1"/>
    </xf>
    <xf numFmtId="188" fontId="12" fillId="0" borderId="0" xfId="0" applyNumberFormat="1" applyFont="1" applyBorder="1" applyAlignment="1" applyProtection="1" quotePrefix="1">
      <alignment horizontal="distributed" vertical="center"/>
      <protection/>
    </xf>
    <xf numFmtId="188" fontId="11" fillId="0" borderId="0" xfId="0" applyNumberFormat="1" applyFont="1" applyBorder="1" applyAlignment="1" applyProtection="1">
      <alignment horizontal="distributed" vertical="center"/>
      <protection/>
    </xf>
    <xf numFmtId="188" fontId="11" fillId="0" borderId="0" xfId="0" applyNumberFormat="1" applyFont="1" applyBorder="1" applyAlignment="1" applyProtection="1" quotePrefix="1">
      <alignment horizontal="distributed" vertical="center"/>
      <protection/>
    </xf>
    <xf numFmtId="188" fontId="9" fillId="0" borderId="0" xfId="0" applyNumberFormat="1" applyFont="1" applyBorder="1" applyAlignment="1" applyProtection="1" quotePrefix="1">
      <alignment horizontal="center" vertical="center"/>
      <protection/>
    </xf>
    <xf numFmtId="188" fontId="12" fillId="0" borderId="0" xfId="0" applyNumberFormat="1" applyFont="1" applyBorder="1" applyAlignment="1" applyProtection="1">
      <alignment horizontal="distributed" vertical="center"/>
      <protection/>
    </xf>
    <xf numFmtId="188" fontId="12" fillId="0" borderId="0" xfId="0" applyNumberFormat="1" applyFont="1" applyAlignment="1">
      <alignment horizontal="distributed" vertical="center"/>
    </xf>
    <xf numFmtId="188" fontId="11" fillId="0" borderId="0" xfId="0" applyNumberFormat="1" applyFont="1" applyBorder="1" applyAlignment="1">
      <alignment horizontal="right" vertical="center" wrapText="1"/>
    </xf>
    <xf numFmtId="188" fontId="11" fillId="0" borderId="0" xfId="0" applyNumberFormat="1" applyFont="1" applyBorder="1" applyAlignment="1">
      <alignment horizontal="center" vertical="center" wrapText="1"/>
    </xf>
    <xf numFmtId="188" fontId="11" fillId="0" borderId="0" xfId="0" applyNumberFormat="1" applyFont="1" applyAlignment="1">
      <alignment/>
    </xf>
    <xf numFmtId="188" fontId="10" fillId="0" borderId="6" xfId="0" applyNumberFormat="1" applyFont="1" applyBorder="1" applyAlignment="1">
      <alignment horizontal="right" vertical="center" wrapText="1"/>
    </xf>
    <xf numFmtId="188" fontId="9" fillId="0" borderId="6" xfId="0" applyNumberFormat="1" applyFont="1" applyBorder="1" applyAlignment="1" applyProtection="1" quotePrefix="1">
      <alignment horizontal="center" vertical="center"/>
      <protection/>
    </xf>
    <xf numFmtId="188" fontId="11" fillId="0" borderId="6" xfId="0" applyNumberFormat="1" applyFont="1" applyBorder="1" applyAlignment="1">
      <alignment horizontal="center" vertical="center" wrapText="1"/>
    </xf>
    <xf numFmtId="188" fontId="11" fillId="0" borderId="6" xfId="0" applyNumberFormat="1" applyFont="1" applyBorder="1" applyAlignment="1">
      <alignment horizontal="right" vertical="center" wrapText="1"/>
    </xf>
    <xf numFmtId="188" fontId="12" fillId="0" borderId="6" xfId="0" applyNumberFormat="1" applyFont="1" applyBorder="1" applyAlignment="1" applyProtection="1" quotePrefix="1">
      <alignment horizontal="distributed" vertical="center"/>
      <protection/>
    </xf>
    <xf numFmtId="188" fontId="12" fillId="0" borderId="0" xfId="0" applyNumberFormat="1" applyFont="1" applyBorder="1" applyAlignment="1" applyProtection="1">
      <alignment horizontal="distributed" vertical="center" wrapText="1" shrinkToFit="1"/>
      <protection/>
    </xf>
    <xf numFmtId="188" fontId="12" fillId="0" borderId="0" xfId="0" applyNumberFormat="1" applyFont="1" applyBorder="1" applyAlignment="1" applyProtection="1" quotePrefix="1">
      <alignment horizontal="distributed" vertical="center" wrapText="1" shrinkToFit="1"/>
      <protection/>
    </xf>
    <xf numFmtId="188" fontId="12" fillId="0" borderId="0" xfId="0" applyNumberFormat="1" applyFont="1" applyBorder="1" applyAlignment="1" applyProtection="1" quotePrefix="1">
      <alignment horizontal="distributed" vertical="center" wrapText="1"/>
      <protection/>
    </xf>
    <xf numFmtId="188" fontId="12" fillId="0" borderId="0" xfId="0" applyNumberFormat="1" applyFont="1" applyBorder="1" applyAlignment="1" applyProtection="1">
      <alignment horizontal="distributed" vertical="center" wrapText="1"/>
      <protection/>
    </xf>
    <xf numFmtId="188" fontId="10" fillId="0" borderId="0" xfId="0" applyNumberFormat="1" applyFont="1" applyBorder="1" applyAlignment="1">
      <alignment horizontal="right" vertical="center" wrapText="1"/>
    </xf>
    <xf numFmtId="188" fontId="11" fillId="0" borderId="6" xfId="0" applyNumberFormat="1" applyFont="1" applyBorder="1" applyAlignment="1" applyProtection="1" quotePrefix="1">
      <alignment horizontal="distributed" vertical="center"/>
      <protection/>
    </xf>
    <xf numFmtId="188" fontId="16" fillId="0" borderId="0" xfId="0" applyNumberFormat="1" applyFont="1" applyBorder="1" applyAlignment="1" applyProtection="1" quotePrefix="1">
      <alignment horizontal="center" vertical="center"/>
      <protection/>
    </xf>
    <xf numFmtId="188" fontId="7" fillId="0" borderId="5" xfId="0" applyNumberFormat="1" applyFont="1" applyBorder="1" applyAlignment="1">
      <alignment horizontal="center" vertical="center" wrapText="1"/>
    </xf>
    <xf numFmtId="188" fontId="7" fillId="0" borderId="4" xfId="0" applyNumberFormat="1" applyFont="1" applyBorder="1" applyAlignment="1" quotePrefix="1">
      <alignment horizontal="center" vertical="center" wrapText="1"/>
    </xf>
    <xf numFmtId="188" fontId="13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3.875" style="5" customWidth="1"/>
    <col min="2" max="2" width="0.875" style="5" customWidth="1"/>
    <col min="3" max="3" width="26.25390625" style="5" customWidth="1"/>
    <col min="4" max="4" width="16.625" style="5" customWidth="1"/>
    <col min="5" max="5" width="14.25390625" style="5" customWidth="1"/>
    <col min="6" max="6" width="15.00390625" style="5" customWidth="1"/>
    <col min="7" max="7" width="14.125" style="5" customWidth="1"/>
    <col min="8" max="8" width="16.00390625" style="5" customWidth="1"/>
    <col min="9" max="9" width="15.625" style="5" customWidth="1"/>
    <col min="10" max="10" width="14.625" style="5" customWidth="1"/>
    <col min="11" max="11" width="15.50390625" style="5" customWidth="1"/>
    <col min="12" max="12" width="12.50390625" style="5" customWidth="1"/>
    <col min="13" max="13" width="16.875" style="5" customWidth="1"/>
    <col min="14" max="16384" width="9.00390625" style="5" customWidth="1"/>
  </cols>
  <sheetData>
    <row r="1" spans="1:13" s="7" customFormat="1" ht="16.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6"/>
    </row>
    <row r="2" spans="1:13" s="7" customFormat="1" ht="30" customHeight="1">
      <c r="A2" s="4" t="s">
        <v>1</v>
      </c>
      <c r="B2" s="4"/>
      <c r="D2" s="8"/>
      <c r="E2" s="8"/>
      <c r="G2" s="9" t="s">
        <v>64</v>
      </c>
      <c r="H2" s="10" t="s">
        <v>65</v>
      </c>
      <c r="I2" s="11"/>
      <c r="J2" s="11"/>
      <c r="K2" s="4"/>
      <c r="L2" s="4"/>
      <c r="M2" s="4"/>
    </row>
    <row r="3" spans="1:13" s="7" customFormat="1" ht="19.5" customHeight="1" thickBot="1">
      <c r="A3" s="4"/>
      <c r="B3" s="4"/>
      <c r="C3" s="12"/>
      <c r="D3" s="13"/>
      <c r="E3" s="13"/>
      <c r="F3" s="13"/>
      <c r="G3" s="14"/>
      <c r="H3" s="13"/>
      <c r="I3" s="4"/>
      <c r="J3" s="4"/>
      <c r="K3" s="4"/>
      <c r="L3" s="5"/>
      <c r="M3" s="6" t="s">
        <v>51</v>
      </c>
    </row>
    <row r="4" spans="1:13" s="7" customFormat="1" ht="19.5" customHeight="1">
      <c r="A4" s="15" t="s">
        <v>40</v>
      </c>
      <c r="B4" s="15"/>
      <c r="C4" s="16"/>
      <c r="D4" s="17" t="s">
        <v>27</v>
      </c>
      <c r="E4" s="18"/>
      <c r="F4" s="19"/>
      <c r="G4" s="20" t="s">
        <v>2</v>
      </c>
      <c r="H4" s="21"/>
      <c r="I4" s="19"/>
      <c r="J4" s="19"/>
      <c r="K4" s="19"/>
      <c r="L4" s="20" t="s">
        <v>3</v>
      </c>
      <c r="M4" s="19"/>
    </row>
    <row r="5" spans="1:13" s="7" customFormat="1" ht="33.75" customHeight="1" thickBot="1">
      <c r="A5" s="53" t="s">
        <v>47</v>
      </c>
      <c r="B5" s="54"/>
      <c r="C5" s="22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5" t="s">
        <v>9</v>
      </c>
      <c r="I5" s="26" t="s">
        <v>41</v>
      </c>
      <c r="J5" s="26" t="s">
        <v>28</v>
      </c>
      <c r="K5" s="25" t="s">
        <v>10</v>
      </c>
      <c r="L5" s="25" t="s">
        <v>11</v>
      </c>
      <c r="M5" s="27" t="s">
        <v>12</v>
      </c>
    </row>
    <row r="6" spans="1:13" s="31" customFormat="1" ht="29.25" customHeight="1">
      <c r="A6" s="28"/>
      <c r="B6" s="28"/>
      <c r="C6" s="29" t="s">
        <v>13</v>
      </c>
      <c r="D6" s="30">
        <f aca="true" t="shared" si="0" ref="D6:M6">D7</f>
        <v>1864555766</v>
      </c>
      <c r="E6" s="30">
        <f t="shared" si="0"/>
        <v>2448369</v>
      </c>
      <c r="F6" s="30">
        <f t="shared" si="0"/>
        <v>104293677</v>
      </c>
      <c r="G6" s="30">
        <f t="shared" si="0"/>
        <v>17331320</v>
      </c>
      <c r="H6" s="30">
        <f t="shared" si="0"/>
        <v>704114856.49</v>
      </c>
      <c r="I6" s="30">
        <f>I7</f>
        <v>298744478</v>
      </c>
      <c r="J6" s="30"/>
      <c r="K6" s="30">
        <f>K7</f>
        <v>251314396.51</v>
      </c>
      <c r="L6" s="30">
        <f t="shared" si="0"/>
        <v>124445</v>
      </c>
      <c r="M6" s="30">
        <f t="shared" si="0"/>
        <v>3243519526</v>
      </c>
    </row>
    <row r="7" spans="1:13" s="31" customFormat="1" ht="16.5" customHeight="1">
      <c r="A7" s="28" t="s">
        <v>34</v>
      </c>
      <c r="B7" s="28"/>
      <c r="C7" s="32" t="s">
        <v>30</v>
      </c>
      <c r="D7" s="28">
        <f>SUM(D8:D9)</f>
        <v>1864555766</v>
      </c>
      <c r="E7" s="28">
        <f aca="true" t="shared" si="1" ref="E7:M7">SUM(E8:E9)</f>
        <v>2448369</v>
      </c>
      <c r="F7" s="28">
        <f t="shared" si="1"/>
        <v>104293677</v>
      </c>
      <c r="G7" s="28">
        <f t="shared" si="1"/>
        <v>17331320</v>
      </c>
      <c r="H7" s="28">
        <f t="shared" si="1"/>
        <v>704114856.49</v>
      </c>
      <c r="I7" s="28">
        <f t="shared" si="1"/>
        <v>298744478</v>
      </c>
      <c r="J7" s="28"/>
      <c r="K7" s="28">
        <f>SUM(K8:K9)</f>
        <v>251314396.51</v>
      </c>
      <c r="L7" s="28">
        <f t="shared" si="1"/>
        <v>124445</v>
      </c>
      <c r="M7" s="28">
        <f t="shared" si="1"/>
        <v>3243519526</v>
      </c>
    </row>
    <row r="8" spans="1:13" s="31" customFormat="1" ht="16.5" customHeight="1">
      <c r="A8" s="28"/>
      <c r="B8" s="28"/>
      <c r="C8" s="33" t="s">
        <v>31</v>
      </c>
      <c r="D8" s="28">
        <v>1849101637</v>
      </c>
      <c r="E8" s="28">
        <v>2448369</v>
      </c>
      <c r="F8" s="28">
        <v>103792689</v>
      </c>
      <c r="G8" s="28">
        <v>1026705</v>
      </c>
      <c r="H8" s="28">
        <v>701165290.49</v>
      </c>
      <c r="I8" s="28">
        <v>297812633</v>
      </c>
      <c r="J8" s="28">
        <v>592218</v>
      </c>
      <c r="K8" s="28">
        <v>250431118.51</v>
      </c>
      <c r="L8" s="28">
        <v>124445</v>
      </c>
      <c r="M8" s="28">
        <f>SUM(D8:L8)</f>
        <v>3206495105</v>
      </c>
    </row>
    <row r="9" spans="1:13" s="31" customFormat="1" ht="16.5" customHeight="1">
      <c r="A9" s="28"/>
      <c r="B9" s="28"/>
      <c r="C9" s="34" t="s">
        <v>32</v>
      </c>
      <c r="D9" s="28">
        <v>15454129</v>
      </c>
      <c r="E9" s="28"/>
      <c r="F9" s="28">
        <v>500988</v>
      </c>
      <c r="G9" s="28">
        <v>16304615</v>
      </c>
      <c r="H9" s="28">
        <f>1667146+1282420</f>
        <v>2949566</v>
      </c>
      <c r="I9" s="28">
        <v>931845</v>
      </c>
      <c r="J9" s="28"/>
      <c r="K9" s="28">
        <f>779678+2800+4800+96000</f>
        <v>883278</v>
      </c>
      <c r="L9" s="28"/>
      <c r="M9" s="28">
        <f>SUM(D9:L9)</f>
        <v>37024421</v>
      </c>
    </row>
    <row r="10" spans="1:13" s="31" customFormat="1" ht="24.75" customHeight="1">
      <c r="A10" s="30">
        <f>A11+SUM(A14:A15)+A18+A21+SUM(A24:A25)</f>
        <v>7294901977</v>
      </c>
      <c r="B10" s="30"/>
      <c r="C10" s="35" t="s">
        <v>14</v>
      </c>
      <c r="D10" s="30">
        <f aca="true" t="shared" si="2" ref="D10:M10">D11+SUM(D14:D15)+D18+D21+SUM(D24:D25)</f>
        <v>44103166609.29</v>
      </c>
      <c r="E10" s="30">
        <f t="shared" si="2"/>
        <v>364963406</v>
      </c>
      <c r="F10" s="30">
        <f t="shared" si="2"/>
        <v>4550139347.52</v>
      </c>
      <c r="G10" s="30">
        <f t="shared" si="2"/>
        <v>1450130576</v>
      </c>
      <c r="H10" s="30">
        <f t="shared" si="2"/>
        <v>14646105452.68</v>
      </c>
      <c r="I10" s="30">
        <f t="shared" si="2"/>
        <v>13465261837.68</v>
      </c>
      <c r="J10" s="30">
        <f t="shared" si="2"/>
        <v>113217591</v>
      </c>
      <c r="K10" s="30">
        <f t="shared" si="2"/>
        <v>5556586846.18</v>
      </c>
      <c r="L10" s="30">
        <f t="shared" si="2"/>
        <v>5267979</v>
      </c>
      <c r="M10" s="30">
        <f t="shared" si="2"/>
        <v>84254839645.35</v>
      </c>
    </row>
    <row r="11" spans="1:13" s="31" customFormat="1" ht="16.5" customHeight="1">
      <c r="A11" s="28"/>
      <c r="B11" s="28"/>
      <c r="C11" s="32" t="s">
        <v>15</v>
      </c>
      <c r="D11" s="28">
        <f aca="true" t="shared" si="3" ref="D11:M11">D12+D13</f>
        <v>3980859446.4900002</v>
      </c>
      <c r="E11" s="28">
        <f t="shared" si="3"/>
        <v>122829150</v>
      </c>
      <c r="F11" s="28">
        <f>F12+F13</f>
        <v>251032650.51999998</v>
      </c>
      <c r="G11" s="28">
        <f>G12+G13</f>
        <v>5882011</v>
      </c>
      <c r="H11" s="28">
        <f>H12+H13</f>
        <v>906312275</v>
      </c>
      <c r="I11" s="28">
        <f t="shared" si="3"/>
        <v>1371242707</v>
      </c>
      <c r="J11" s="28">
        <f t="shared" si="3"/>
        <v>0</v>
      </c>
      <c r="K11" s="28">
        <f t="shared" si="3"/>
        <v>546163185.4399999</v>
      </c>
      <c r="L11" s="28">
        <f t="shared" si="3"/>
        <v>481015</v>
      </c>
      <c r="M11" s="28">
        <f t="shared" si="3"/>
        <v>7184802440.449999</v>
      </c>
    </row>
    <row r="12" spans="1:13" s="31" customFormat="1" ht="16.5" customHeight="1">
      <c r="A12" s="28"/>
      <c r="B12" s="28"/>
      <c r="C12" s="33" t="s">
        <v>31</v>
      </c>
      <c r="D12" s="28">
        <v>3954470823.98</v>
      </c>
      <c r="E12" s="28">
        <v>122829150</v>
      </c>
      <c r="F12" s="28">
        <v>250409363.14</v>
      </c>
      <c r="G12" s="28">
        <v>5882011</v>
      </c>
      <c r="H12" s="28">
        <f>170341049+681047253.07+52035084</f>
        <v>903423386.07</v>
      </c>
      <c r="I12" s="28">
        <f>1347293178.64+16449183.07</f>
        <v>1363742361.71</v>
      </c>
      <c r="J12" s="28"/>
      <c r="K12" s="28">
        <v>545439869.06</v>
      </c>
      <c r="L12" s="28">
        <v>481015</v>
      </c>
      <c r="M12" s="28">
        <f aca="true" t="shared" si="4" ref="M12:M20">SUM(D12:L12)</f>
        <v>7146677979.959999</v>
      </c>
    </row>
    <row r="13" spans="1:13" s="31" customFormat="1" ht="16.5" customHeight="1">
      <c r="A13" s="28"/>
      <c r="B13" s="28"/>
      <c r="C13" s="34" t="s">
        <v>32</v>
      </c>
      <c r="D13" s="28">
        <v>26388622.51</v>
      </c>
      <c r="E13" s="28"/>
      <c r="F13" s="28">
        <v>623287.38</v>
      </c>
      <c r="G13" s="28">
        <v>0</v>
      </c>
      <c r="H13" s="28">
        <f>514389+2374499.93</f>
        <v>2888888.93</v>
      </c>
      <c r="I13" s="28">
        <f>5125845.36+2374499.93</f>
        <v>7500345.290000001</v>
      </c>
      <c r="J13" s="28"/>
      <c r="K13" s="28">
        <f>549427.09+110307.94+63581.35</f>
        <v>723316.38</v>
      </c>
      <c r="L13" s="28"/>
      <c r="M13" s="28">
        <f t="shared" si="4"/>
        <v>38124460.49</v>
      </c>
    </row>
    <row r="14" spans="1:13" s="31" customFormat="1" ht="16.5" customHeight="1">
      <c r="A14" s="28">
        <v>136357</v>
      </c>
      <c r="B14" s="28"/>
      <c r="C14" s="36" t="s">
        <v>16</v>
      </c>
      <c r="D14" s="28">
        <v>1585259871.79</v>
      </c>
      <c r="E14" s="28">
        <v>5085826</v>
      </c>
      <c r="F14" s="28">
        <v>90828694</v>
      </c>
      <c r="G14" s="28">
        <v>14753710</v>
      </c>
      <c r="H14" s="28">
        <f>152638250+241129818.68+58097581</f>
        <v>451865649.68</v>
      </c>
      <c r="I14" s="28">
        <f>184703281.68+16952940</f>
        <v>201656221.68</v>
      </c>
      <c r="J14" s="28"/>
      <c r="K14" s="28">
        <f>142588604.85+660413+46587362+1029343+174939</f>
        <v>191040661.85</v>
      </c>
      <c r="L14" s="28">
        <v>284130</v>
      </c>
      <c r="M14" s="28">
        <f t="shared" si="4"/>
        <v>2540774764.9999995</v>
      </c>
    </row>
    <row r="15" spans="1:13" s="31" customFormat="1" ht="16.5" customHeight="1">
      <c r="A15" s="28">
        <f>A16+A17</f>
        <v>283514439</v>
      </c>
      <c r="B15" s="28"/>
      <c r="C15" s="32" t="s">
        <v>17</v>
      </c>
      <c r="D15" s="28">
        <f aca="true" t="shared" si="5" ref="D15:L15">D16+D17</f>
        <v>12510795012.01</v>
      </c>
      <c r="E15" s="28">
        <f t="shared" si="5"/>
        <v>128539669</v>
      </c>
      <c r="F15" s="28">
        <f t="shared" si="5"/>
        <v>1886946484</v>
      </c>
      <c r="G15" s="28">
        <f t="shared" si="5"/>
        <v>126553917</v>
      </c>
      <c r="H15" s="28">
        <f t="shared" si="5"/>
        <v>4316442130</v>
      </c>
      <c r="I15" s="28">
        <f t="shared" si="5"/>
        <v>4666365074</v>
      </c>
      <c r="J15" s="28">
        <f t="shared" si="5"/>
        <v>0</v>
      </c>
      <c r="K15" s="28">
        <f t="shared" si="5"/>
        <v>1809980154.89</v>
      </c>
      <c r="L15" s="28">
        <f t="shared" si="5"/>
        <v>1539726</v>
      </c>
      <c r="M15" s="28">
        <f t="shared" si="4"/>
        <v>25447162166.9</v>
      </c>
    </row>
    <row r="16" spans="1:13" s="31" customFormat="1" ht="16.5" customHeight="1">
      <c r="A16" s="28">
        <v>283514439</v>
      </c>
      <c r="B16" s="28"/>
      <c r="C16" s="33" t="s">
        <v>31</v>
      </c>
      <c r="D16" s="28">
        <v>12508866400.01</v>
      </c>
      <c r="E16" s="28">
        <v>128539669</v>
      </c>
      <c r="F16" s="28">
        <v>1886946484</v>
      </c>
      <c r="G16" s="28">
        <v>126553917</v>
      </c>
      <c r="H16" s="28">
        <v>4316442130</v>
      </c>
      <c r="I16" s="28">
        <v>4666365074</v>
      </c>
      <c r="J16" s="28"/>
      <c r="K16" s="28">
        <v>1809980154.89</v>
      </c>
      <c r="L16" s="28">
        <v>1539726</v>
      </c>
      <c r="M16" s="28">
        <f t="shared" si="4"/>
        <v>25445233554.9</v>
      </c>
    </row>
    <row r="17" spans="1:13" s="31" customFormat="1" ht="16.5" customHeight="1">
      <c r="A17" s="28"/>
      <c r="B17" s="28"/>
      <c r="C17" s="34" t="s">
        <v>32</v>
      </c>
      <c r="D17" s="28">
        <v>1928612</v>
      </c>
      <c r="E17" s="28"/>
      <c r="F17" s="28"/>
      <c r="G17" s="28"/>
      <c r="H17" s="28"/>
      <c r="I17" s="28"/>
      <c r="J17" s="28"/>
      <c r="K17" s="28"/>
      <c r="L17" s="28"/>
      <c r="M17" s="28">
        <f t="shared" si="4"/>
        <v>1928612</v>
      </c>
    </row>
    <row r="18" spans="1:13" s="31" customFormat="1" ht="16.5" customHeight="1">
      <c r="A18" s="28">
        <f>A19+A20</f>
        <v>7011251181</v>
      </c>
      <c r="B18" s="28"/>
      <c r="C18" s="32" t="s">
        <v>18</v>
      </c>
      <c r="D18" s="28">
        <f aca="true" t="shared" si="6" ref="D18:L18">D19+D20</f>
        <v>18708007675</v>
      </c>
      <c r="E18" s="28">
        <f t="shared" si="6"/>
        <v>4781326</v>
      </c>
      <c r="F18" s="28">
        <f t="shared" si="6"/>
        <v>1996607621</v>
      </c>
      <c r="G18" s="28">
        <f t="shared" si="6"/>
        <v>1277565779</v>
      </c>
      <c r="H18" s="28">
        <f t="shared" si="6"/>
        <v>7312650298</v>
      </c>
      <c r="I18" s="28">
        <f t="shared" si="6"/>
        <v>5594750601</v>
      </c>
      <c r="J18" s="28">
        <f t="shared" si="6"/>
        <v>112262590</v>
      </c>
      <c r="K18" s="28">
        <f t="shared" si="6"/>
        <v>2232540122</v>
      </c>
      <c r="L18" s="28">
        <f t="shared" si="6"/>
        <v>1960904</v>
      </c>
      <c r="M18" s="28">
        <f>M19+M20</f>
        <v>37241126916</v>
      </c>
    </row>
    <row r="19" spans="1:13" s="31" customFormat="1" ht="16.5" customHeight="1">
      <c r="A19" s="28">
        <v>7011251181</v>
      </c>
      <c r="B19" s="28"/>
      <c r="C19" s="33" t="s">
        <v>31</v>
      </c>
      <c r="D19" s="28">
        <v>18708007675</v>
      </c>
      <c r="E19" s="28">
        <v>4781326</v>
      </c>
      <c r="F19" s="28">
        <v>1996607621</v>
      </c>
      <c r="G19" s="28">
        <v>1277565779</v>
      </c>
      <c r="H19" s="28">
        <f>3972410372+3055792577+284447349</f>
        <v>7312650298</v>
      </c>
      <c r="I19" s="28">
        <f>5409489560+185261041</f>
        <v>5594750601</v>
      </c>
      <c r="J19" s="28">
        <v>112262590</v>
      </c>
      <c r="K19" s="28">
        <f>1434755682+71940579+633423975+29447621+62972265</f>
        <v>2232540122</v>
      </c>
      <c r="L19" s="28">
        <v>1960904</v>
      </c>
      <c r="M19" s="28">
        <f t="shared" si="4"/>
        <v>37241126916</v>
      </c>
    </row>
    <row r="20" spans="1:13" s="31" customFormat="1" ht="16.5" customHeight="1">
      <c r="A20" s="28"/>
      <c r="B20" s="28"/>
      <c r="C20" s="34" t="s">
        <v>32</v>
      </c>
      <c r="D20" s="28"/>
      <c r="E20" s="28"/>
      <c r="F20" s="28"/>
      <c r="G20" s="28"/>
      <c r="H20" s="28"/>
      <c r="I20" s="28"/>
      <c r="J20" s="28">
        <v>0</v>
      </c>
      <c r="K20" s="28"/>
      <c r="L20" s="28"/>
      <c r="M20" s="28">
        <f t="shared" si="4"/>
        <v>0</v>
      </c>
    </row>
    <row r="21" spans="1:13" s="31" customFormat="1" ht="16.5" customHeight="1">
      <c r="A21" s="28"/>
      <c r="B21" s="28"/>
      <c r="C21" s="32" t="s">
        <v>19</v>
      </c>
      <c r="D21" s="28">
        <f aca="true" t="shared" si="7" ref="D21:M21">D22+D23</f>
        <v>2307456104</v>
      </c>
      <c r="E21" s="28">
        <f t="shared" si="7"/>
        <v>21680373</v>
      </c>
      <c r="F21" s="28">
        <f t="shared" si="7"/>
        <v>61067837</v>
      </c>
      <c r="G21" s="28">
        <f t="shared" si="7"/>
        <v>17584617</v>
      </c>
      <c r="H21" s="28">
        <f t="shared" si="7"/>
        <v>193582799</v>
      </c>
      <c r="I21" s="28">
        <f t="shared" si="7"/>
        <v>266063757</v>
      </c>
      <c r="J21" s="28">
        <f t="shared" si="7"/>
        <v>0</v>
      </c>
      <c r="K21" s="28">
        <f t="shared" si="7"/>
        <v>216004315</v>
      </c>
      <c r="L21" s="28">
        <f t="shared" si="7"/>
        <v>423793</v>
      </c>
      <c r="M21" s="28">
        <f t="shared" si="7"/>
        <v>3083863595</v>
      </c>
    </row>
    <row r="22" spans="1:13" s="31" customFormat="1" ht="16.5" customHeight="1">
      <c r="A22" s="28"/>
      <c r="B22" s="28"/>
      <c r="C22" s="33" t="s">
        <v>31</v>
      </c>
      <c r="D22" s="28">
        <v>2270161634</v>
      </c>
      <c r="E22" s="28">
        <v>20064899</v>
      </c>
      <c r="F22" s="28">
        <v>61067837</v>
      </c>
      <c r="G22" s="28">
        <v>17584617</v>
      </c>
      <c r="H22" s="28">
        <v>190818401</v>
      </c>
      <c r="I22" s="28">
        <f>256306899+6045757</f>
        <v>262352656</v>
      </c>
      <c r="J22" s="28"/>
      <c r="K22" s="28">
        <f>197726287+14001756+1628741+425355</f>
        <v>213782139</v>
      </c>
      <c r="L22" s="28">
        <v>417341</v>
      </c>
      <c r="M22" s="28">
        <f>SUM(D22:L22)</f>
        <v>3036249524</v>
      </c>
    </row>
    <row r="23" spans="1:13" s="31" customFormat="1" ht="16.5" customHeight="1">
      <c r="A23" s="28"/>
      <c r="B23" s="28"/>
      <c r="C23" s="34" t="s">
        <v>32</v>
      </c>
      <c r="D23" s="28">
        <v>37294470</v>
      </c>
      <c r="E23" s="28">
        <v>1615474</v>
      </c>
      <c r="F23" s="28"/>
      <c r="G23" s="28"/>
      <c r="H23" s="28">
        <v>2764398</v>
      </c>
      <c r="I23" s="28">
        <v>3711101</v>
      </c>
      <c r="J23" s="28"/>
      <c r="K23" s="28">
        <f>2066896+142541+12739</f>
        <v>2222176</v>
      </c>
      <c r="L23" s="28">
        <v>6452</v>
      </c>
      <c r="M23" s="28">
        <f>SUM(D23:L23)</f>
        <v>47614071</v>
      </c>
    </row>
    <row r="24" spans="1:13" s="31" customFormat="1" ht="16.5" customHeight="1">
      <c r="A24" s="28"/>
      <c r="B24" s="28"/>
      <c r="C24" s="37" t="s">
        <v>35</v>
      </c>
      <c r="D24" s="28">
        <v>586457938</v>
      </c>
      <c r="E24" s="28">
        <v>16682884</v>
      </c>
      <c r="F24" s="28">
        <v>79617469</v>
      </c>
      <c r="G24" s="28"/>
      <c r="H24" s="28">
        <f>138929191+98992047+106000</f>
        <v>238027238</v>
      </c>
      <c r="I24" s="28">
        <f>193602751+9464741</f>
        <v>203067492</v>
      </c>
      <c r="J24" s="28"/>
      <c r="K24" s="28">
        <f>49807118+440130+21029253+349350+4000000</f>
        <v>75625851</v>
      </c>
      <c r="L24" s="28">
        <v>87081</v>
      </c>
      <c r="M24" s="28">
        <f>SUM(D24:L24)</f>
        <v>1199565953</v>
      </c>
    </row>
    <row r="25" spans="1:13" s="31" customFormat="1" ht="16.5" customHeight="1">
      <c r="A25" s="28"/>
      <c r="B25" s="28"/>
      <c r="C25" s="37" t="s">
        <v>36</v>
      </c>
      <c r="D25" s="28">
        <v>4424330562</v>
      </c>
      <c r="E25" s="28">
        <v>65364178</v>
      </c>
      <c r="F25" s="28">
        <v>184038592</v>
      </c>
      <c r="G25" s="28">
        <v>7790542</v>
      </c>
      <c r="H25" s="28">
        <v>1227225063</v>
      </c>
      <c r="I25" s="28">
        <f>1109531452+52584533</f>
        <v>1162115985</v>
      </c>
      <c r="J25" s="28">
        <v>955001</v>
      </c>
      <c r="K25" s="28">
        <f>334979772+1221483+34745642+1524639+112761020</f>
        <v>485232556</v>
      </c>
      <c r="L25" s="28">
        <v>491330</v>
      </c>
      <c r="M25" s="28">
        <f>SUM(D25:L25)</f>
        <v>7557543809</v>
      </c>
    </row>
    <row r="26" spans="1:13" s="31" customFormat="1" ht="24" customHeight="1">
      <c r="A26" s="28"/>
      <c r="B26" s="28"/>
      <c r="C26" s="35" t="s">
        <v>20</v>
      </c>
      <c r="D26" s="30">
        <f aca="true" t="shared" si="8" ref="D26:M26">+D27+D30+D33+D34+D37+D40+D43+D44</f>
        <v>20873810470.31</v>
      </c>
      <c r="E26" s="30">
        <f t="shared" si="8"/>
        <v>1205564335</v>
      </c>
      <c r="F26" s="30">
        <f t="shared" si="8"/>
        <v>2539572270.45</v>
      </c>
      <c r="G26" s="30">
        <f t="shared" si="8"/>
        <v>420238093.53</v>
      </c>
      <c r="H26" s="30">
        <f t="shared" si="8"/>
        <v>8126235912.809999</v>
      </c>
      <c r="I26" s="30">
        <f t="shared" si="8"/>
        <v>4526852861.27</v>
      </c>
      <c r="J26" s="30">
        <f t="shared" si="8"/>
        <v>542557</v>
      </c>
      <c r="K26" s="30">
        <f t="shared" si="8"/>
        <v>2440647635.96</v>
      </c>
      <c r="L26" s="30">
        <f t="shared" si="8"/>
        <v>1157444.74</v>
      </c>
      <c r="M26" s="30">
        <f t="shared" si="8"/>
        <v>40134621581.06999</v>
      </c>
    </row>
    <row r="27" spans="1:13" s="31" customFormat="1" ht="16.5" customHeight="1">
      <c r="A27" s="28"/>
      <c r="B27" s="28"/>
      <c r="C27" s="32" t="s">
        <v>33</v>
      </c>
      <c r="D27" s="28">
        <f aca="true" t="shared" si="9" ref="D27:L27">D28+D29</f>
        <v>207103168.29</v>
      </c>
      <c r="E27" s="28">
        <f t="shared" si="9"/>
        <v>6236263</v>
      </c>
      <c r="F27" s="28">
        <f t="shared" si="9"/>
        <v>12262192.809999999</v>
      </c>
      <c r="G27" s="28">
        <f t="shared" si="9"/>
        <v>5877330.58</v>
      </c>
      <c r="H27" s="28">
        <f t="shared" si="9"/>
        <v>61275519.86</v>
      </c>
      <c r="I27" s="28">
        <f t="shared" si="9"/>
        <v>29660574.15</v>
      </c>
      <c r="J27" s="28"/>
      <c r="K27" s="28">
        <f t="shared" si="9"/>
        <v>26113060.220000006</v>
      </c>
      <c r="L27" s="28">
        <f t="shared" si="9"/>
        <v>4423.99</v>
      </c>
      <c r="M27" s="28">
        <f aca="true" t="shared" si="10" ref="M27:M32">SUM(D27:L27)</f>
        <v>348532532.90000004</v>
      </c>
    </row>
    <row r="28" spans="1:13" s="31" customFormat="1" ht="16.5" customHeight="1">
      <c r="A28" s="28"/>
      <c r="B28" s="28"/>
      <c r="C28" s="33" t="s">
        <v>31</v>
      </c>
      <c r="D28" s="38">
        <v>198958555.03</v>
      </c>
      <c r="E28" s="38">
        <v>5900343.06</v>
      </c>
      <c r="F28" s="38">
        <v>11963991.95</v>
      </c>
      <c r="G28" s="38">
        <v>541494.66</v>
      </c>
      <c r="H28" s="38">
        <f>28244638.08+31624040.14+10000</f>
        <v>59878678.22</v>
      </c>
      <c r="I28" s="38">
        <v>29040767.18</v>
      </c>
      <c r="J28" s="38"/>
      <c r="K28" s="38">
        <f>13020139.76+60539.98+5451357+104599.92+3593942.12</f>
        <v>22230578.780000005</v>
      </c>
      <c r="L28" s="38">
        <v>4423.99</v>
      </c>
      <c r="M28" s="28">
        <f t="shared" si="10"/>
        <v>328518832.87</v>
      </c>
    </row>
    <row r="29" spans="1:13" s="31" customFormat="1" ht="16.5" customHeight="1">
      <c r="A29" s="28"/>
      <c r="B29" s="28"/>
      <c r="C29" s="34" t="s">
        <v>32</v>
      </c>
      <c r="D29" s="38">
        <v>8144613.26</v>
      </c>
      <c r="E29" s="38">
        <v>335919.94</v>
      </c>
      <c r="F29" s="38">
        <v>298200.86</v>
      </c>
      <c r="G29" s="38">
        <v>5335835.92</v>
      </c>
      <c r="H29" s="38">
        <f>662579.21+734262.43</f>
        <v>1396841.6400000001</v>
      </c>
      <c r="I29" s="38">
        <v>619806.97</v>
      </c>
      <c r="J29" s="38"/>
      <c r="K29" s="38">
        <f>1058513.83+2994.46+2820973.15</f>
        <v>3882481.44</v>
      </c>
      <c r="L29" s="38"/>
      <c r="M29" s="28">
        <f t="shared" si="10"/>
        <v>20013700.03</v>
      </c>
    </row>
    <row r="30" spans="1:13" s="31" customFormat="1" ht="30" customHeight="1">
      <c r="A30" s="38"/>
      <c r="B30" s="38"/>
      <c r="C30" s="47" t="s">
        <v>62</v>
      </c>
      <c r="D30" s="38">
        <f aca="true" t="shared" si="11" ref="D30:L30">D31+D32</f>
        <v>1236617505</v>
      </c>
      <c r="E30" s="38">
        <f t="shared" si="11"/>
        <v>103437015</v>
      </c>
      <c r="F30" s="38">
        <f t="shared" si="11"/>
        <v>79625668</v>
      </c>
      <c r="G30" s="38">
        <f t="shared" si="11"/>
        <v>11039073</v>
      </c>
      <c r="H30" s="38">
        <f t="shared" si="11"/>
        <v>483872106</v>
      </c>
      <c r="I30" s="38">
        <f t="shared" si="11"/>
        <v>204547259</v>
      </c>
      <c r="J30" s="38">
        <f t="shared" si="11"/>
        <v>400054</v>
      </c>
      <c r="K30" s="38">
        <f t="shared" si="11"/>
        <v>172537292</v>
      </c>
      <c r="L30" s="38">
        <f t="shared" si="11"/>
        <v>47239</v>
      </c>
      <c r="M30" s="28">
        <f t="shared" si="10"/>
        <v>2292123211</v>
      </c>
    </row>
    <row r="31" spans="1:13" s="31" customFormat="1" ht="16.5" customHeight="1">
      <c r="A31" s="38"/>
      <c r="B31" s="38"/>
      <c r="C31" s="33" t="s">
        <v>31</v>
      </c>
      <c r="D31" s="38">
        <v>1234480180</v>
      </c>
      <c r="E31" s="38">
        <v>102854744</v>
      </c>
      <c r="F31" s="38">
        <v>79528805</v>
      </c>
      <c r="G31" s="38">
        <v>9334887</v>
      </c>
      <c r="H31" s="38">
        <f>273172781+210132910+15000</f>
        <v>483320691</v>
      </c>
      <c r="I31" s="38">
        <f>204135330+68654</f>
        <v>204203984</v>
      </c>
      <c r="J31" s="38">
        <v>400054</v>
      </c>
      <c r="K31" s="38">
        <f>93567694+753600+45661351+886900+31350251</f>
        <v>172219796</v>
      </c>
      <c r="L31" s="38">
        <v>47239</v>
      </c>
      <c r="M31" s="28">
        <f t="shared" si="10"/>
        <v>2286390380</v>
      </c>
    </row>
    <row r="32" spans="1:13" s="39" customFormat="1" ht="16.5" customHeight="1">
      <c r="A32" s="38"/>
      <c r="B32" s="38"/>
      <c r="C32" s="33" t="s">
        <v>32</v>
      </c>
      <c r="D32" s="38">
        <v>2137325</v>
      </c>
      <c r="E32" s="38">
        <v>582271</v>
      </c>
      <c r="F32" s="38">
        <v>96863</v>
      </c>
      <c r="G32" s="38">
        <v>1704186</v>
      </c>
      <c r="H32" s="38">
        <f>284445+266970</f>
        <v>551415</v>
      </c>
      <c r="I32" s="38">
        <f>289326+53949</f>
        <v>343275</v>
      </c>
      <c r="J32" s="38"/>
      <c r="K32" s="38">
        <f>98101+219395</f>
        <v>317496</v>
      </c>
      <c r="L32" s="38"/>
      <c r="M32" s="38">
        <f t="shared" si="10"/>
        <v>5732831</v>
      </c>
    </row>
    <row r="33" spans="1:13" s="31" customFormat="1" ht="16.5" customHeight="1">
      <c r="A33" s="28"/>
      <c r="B33" s="28"/>
      <c r="C33" s="32" t="s">
        <v>21</v>
      </c>
      <c r="D33" s="28">
        <v>241792780</v>
      </c>
      <c r="E33" s="28"/>
      <c r="F33" s="28">
        <v>10867050</v>
      </c>
      <c r="G33" s="28">
        <v>244510</v>
      </c>
      <c r="H33" s="28">
        <f>51279998+39446152</f>
        <v>90726150</v>
      </c>
      <c r="I33" s="28">
        <v>30833109</v>
      </c>
      <c r="J33" s="28"/>
      <c r="K33" s="28">
        <f>15510486+383152+5669878+183600+5221773</f>
        <v>26968889</v>
      </c>
      <c r="L33" s="28">
        <v>1628</v>
      </c>
      <c r="M33" s="28">
        <f>SUM(D33:L33)</f>
        <v>401434116</v>
      </c>
    </row>
    <row r="34" spans="1:13" s="39" customFormat="1" ht="30.75" customHeight="1">
      <c r="A34" s="38"/>
      <c r="B34" s="38"/>
      <c r="C34" s="46" t="s">
        <v>61</v>
      </c>
      <c r="D34" s="38">
        <f aca="true" t="shared" si="12" ref="D34:I34">D35+D36</f>
        <v>5342130833</v>
      </c>
      <c r="E34" s="38">
        <f t="shared" si="12"/>
        <v>67138883</v>
      </c>
      <c r="F34" s="38">
        <f t="shared" si="12"/>
        <v>860793586</v>
      </c>
      <c r="G34" s="38">
        <f t="shared" si="12"/>
        <v>194846472</v>
      </c>
      <c r="H34" s="38">
        <f t="shared" si="12"/>
        <v>1897529807</v>
      </c>
      <c r="I34" s="38">
        <f t="shared" si="12"/>
        <v>816381491</v>
      </c>
      <c r="J34" s="38"/>
      <c r="K34" s="38">
        <f>K35+K36</f>
        <v>524228322</v>
      </c>
      <c r="L34" s="38">
        <f>L35+L36</f>
        <v>124726</v>
      </c>
      <c r="M34" s="28">
        <f>SUM(D34:L34)</f>
        <v>9703174120</v>
      </c>
    </row>
    <row r="35" spans="1:13" s="39" customFormat="1" ht="16.5" customHeight="1">
      <c r="A35" s="38"/>
      <c r="B35" s="38"/>
      <c r="C35" s="33" t="s">
        <v>44</v>
      </c>
      <c r="D35" s="38">
        <f>5342130833-184053339</f>
        <v>5158077494</v>
      </c>
      <c r="E35" s="38">
        <f>67138883</f>
        <v>67138883</v>
      </c>
      <c r="F35" s="38">
        <f>860793586-12402982</f>
        <v>848390604</v>
      </c>
      <c r="G35" s="38">
        <f>194846472-79678642</f>
        <v>115167830</v>
      </c>
      <c r="H35" s="38">
        <f>1056581578-2249876+840337129+611100</f>
        <v>1895279931</v>
      </c>
      <c r="I35" s="38">
        <f>808552598-6438318+7828893</f>
        <v>809943173</v>
      </c>
      <c r="J35" s="38"/>
      <c r="K35" s="38">
        <v>509286777</v>
      </c>
      <c r="L35" s="38">
        <v>124726</v>
      </c>
      <c r="M35" s="28">
        <f>SUM(D35:L35)</f>
        <v>9403409418</v>
      </c>
    </row>
    <row r="36" spans="1:13" s="31" customFormat="1" ht="16.5" customHeight="1">
      <c r="A36" s="28"/>
      <c r="B36" s="28"/>
      <c r="C36" s="34" t="s">
        <v>32</v>
      </c>
      <c r="D36" s="28">
        <f>183478474+574865</f>
        <v>184053339</v>
      </c>
      <c r="E36" s="28"/>
      <c r="F36" s="28">
        <f>11785985+616997</f>
        <v>12402982</v>
      </c>
      <c r="G36" s="28">
        <v>79678642</v>
      </c>
      <c r="H36" s="28">
        <f>2142081+107795</f>
        <v>2249876</v>
      </c>
      <c r="I36" s="28">
        <v>6438318</v>
      </c>
      <c r="J36" s="28"/>
      <c r="K36" s="28">
        <f>13071291+14657+96240+6315+1741265+1487+10124+166</f>
        <v>14941545</v>
      </c>
      <c r="L36" s="28"/>
      <c r="M36" s="28">
        <f aca="true" t="shared" si="13" ref="M36:M44">SUM(D36:L36)</f>
        <v>299764702</v>
      </c>
    </row>
    <row r="37" spans="1:13" s="31" customFormat="1" ht="30.75" customHeight="1">
      <c r="A37" s="28"/>
      <c r="B37" s="28"/>
      <c r="C37" s="46" t="s">
        <v>63</v>
      </c>
      <c r="D37" s="28">
        <f aca="true" t="shared" si="14" ref="D37:L37">D38+D39</f>
        <v>4197080146.25</v>
      </c>
      <c r="E37" s="28">
        <f t="shared" si="14"/>
        <v>89979333</v>
      </c>
      <c r="F37" s="28">
        <f t="shared" si="14"/>
        <v>637716760.45</v>
      </c>
      <c r="G37" s="28">
        <f t="shared" si="14"/>
        <v>100844243.48</v>
      </c>
      <c r="H37" s="28">
        <f t="shared" si="14"/>
        <v>1515389682.9499998</v>
      </c>
      <c r="I37" s="28">
        <f t="shared" si="14"/>
        <v>667226114.12</v>
      </c>
      <c r="J37" s="28"/>
      <c r="K37" s="28">
        <f t="shared" si="14"/>
        <v>406100665.12</v>
      </c>
      <c r="L37" s="28">
        <f t="shared" si="14"/>
        <v>57168.75</v>
      </c>
      <c r="M37" s="28">
        <f t="shared" si="13"/>
        <v>7614394114.119999</v>
      </c>
    </row>
    <row r="38" spans="1:13" s="31" customFormat="1" ht="16.5" customHeight="1">
      <c r="A38" s="28"/>
      <c r="B38" s="28"/>
      <c r="C38" s="33" t="s">
        <v>44</v>
      </c>
      <c r="D38" s="28">
        <f>4197080146.25-37929789.63</f>
        <v>4159150356.62</v>
      </c>
      <c r="E38" s="28">
        <v>89979333</v>
      </c>
      <c r="F38" s="28">
        <f>637716760.45-950893.1</f>
        <v>636765867.35</v>
      </c>
      <c r="G38" s="28">
        <f>100844243.48-30616812.48</f>
        <v>70227431</v>
      </c>
      <c r="H38" s="28">
        <f>804825503.65-5831822.58+709463779.3+1100400</f>
        <v>1509557860.37</v>
      </c>
      <c r="I38" s="28">
        <f>665323566.12+1902548</f>
        <v>667226114.12</v>
      </c>
      <c r="J38" s="28"/>
      <c r="K38" s="28">
        <f>301062211.37-5307462.01+1986928.27+79241474+13887591.48+9922460</f>
        <v>400793203.11</v>
      </c>
      <c r="L38" s="28">
        <v>57168.75</v>
      </c>
      <c r="M38" s="28">
        <f t="shared" si="13"/>
        <v>7533757334.32</v>
      </c>
    </row>
    <row r="39" spans="1:13" s="39" customFormat="1" ht="16.5" customHeight="1">
      <c r="A39" s="38"/>
      <c r="B39" s="38"/>
      <c r="C39" s="34" t="s">
        <v>32</v>
      </c>
      <c r="D39" s="38">
        <v>37929789.63</v>
      </c>
      <c r="E39" s="38"/>
      <c r="F39" s="38">
        <v>950893.1</v>
      </c>
      <c r="G39" s="38">
        <v>30616812.48</v>
      </c>
      <c r="H39" s="38">
        <f>4696459.81+1135362.77</f>
        <v>5831822.58</v>
      </c>
      <c r="I39" s="38"/>
      <c r="J39" s="38"/>
      <c r="K39" s="38">
        <f>5302596.74+4865.27</f>
        <v>5307462.01</v>
      </c>
      <c r="L39" s="38"/>
      <c r="M39" s="38">
        <f t="shared" si="13"/>
        <v>80636779.80000001</v>
      </c>
    </row>
    <row r="40" spans="1:13" s="39" customFormat="1" ht="16.5" customHeight="1">
      <c r="A40" s="38"/>
      <c r="B40" s="38"/>
      <c r="C40" s="36" t="s">
        <v>42</v>
      </c>
      <c r="D40" s="38">
        <f>D41+D42</f>
        <v>4812467682.77</v>
      </c>
      <c r="E40" s="38">
        <f aca="true" t="shared" si="15" ref="E40:L40">E41+E42</f>
        <v>249872017</v>
      </c>
      <c r="F40" s="38">
        <f t="shared" si="15"/>
        <v>688024676.19</v>
      </c>
      <c r="G40" s="38">
        <f t="shared" si="15"/>
        <v>103977568.47</v>
      </c>
      <c r="H40" s="38">
        <f t="shared" si="15"/>
        <v>2055958061</v>
      </c>
      <c r="I40" s="38">
        <f t="shared" si="15"/>
        <v>815777553</v>
      </c>
      <c r="J40" s="38">
        <f t="shared" si="15"/>
        <v>0</v>
      </c>
      <c r="K40" s="38">
        <f t="shared" si="15"/>
        <v>497370364.82</v>
      </c>
      <c r="L40" s="38">
        <f t="shared" si="15"/>
        <v>149535</v>
      </c>
      <c r="M40" s="38">
        <f t="shared" si="13"/>
        <v>9223597458.25</v>
      </c>
    </row>
    <row r="41" spans="1:13" s="39" customFormat="1" ht="16.5" customHeight="1">
      <c r="A41" s="38"/>
      <c r="B41" s="38"/>
      <c r="C41" s="33" t="s">
        <v>44</v>
      </c>
      <c r="D41" s="38">
        <f>4812467682.77-22539429.5</f>
        <v>4789928253.27</v>
      </c>
      <c r="E41" s="38">
        <f>249872017-298109</f>
        <v>249573908</v>
      </c>
      <c r="F41" s="38">
        <f>688024676.19-1636723.29</f>
        <v>686387952.9000001</v>
      </c>
      <c r="G41" s="38">
        <f>103977568.47-24352058</f>
        <v>79625510.47</v>
      </c>
      <c r="H41" s="38">
        <f>1086776655-4948515+968079806+1101600</f>
        <v>2051009546</v>
      </c>
      <c r="I41" s="38">
        <f>813828333+1949220</f>
        <v>815777553</v>
      </c>
      <c r="J41" s="38"/>
      <c r="K41" s="38">
        <f>360529581.89-429189.1+3829971.93+78269600+46537081+8204130</f>
        <v>496941175.71999997</v>
      </c>
      <c r="L41" s="38">
        <v>149535</v>
      </c>
      <c r="M41" s="38">
        <f t="shared" si="13"/>
        <v>9169393434.359999</v>
      </c>
    </row>
    <row r="42" spans="1:13" s="39" customFormat="1" ht="16.5" customHeight="1">
      <c r="A42" s="38"/>
      <c r="B42" s="38"/>
      <c r="C42" s="34" t="s">
        <v>32</v>
      </c>
      <c r="D42" s="38">
        <v>22539429.5</v>
      </c>
      <c r="E42" s="38">
        <v>298109</v>
      </c>
      <c r="F42" s="38">
        <v>1636723.29</v>
      </c>
      <c r="G42" s="38">
        <v>24352058</v>
      </c>
      <c r="H42" s="38">
        <f>2776518+2171997</f>
        <v>4948515</v>
      </c>
      <c r="I42" s="38"/>
      <c r="J42" s="38"/>
      <c r="K42" s="38">
        <f>426590.29+1399.36+1199.45</f>
        <v>429189.1</v>
      </c>
      <c r="L42" s="38"/>
      <c r="M42" s="38">
        <f t="shared" si="13"/>
        <v>54204023.89</v>
      </c>
    </row>
    <row r="43" spans="1:13" s="31" customFormat="1" ht="16.5" customHeight="1">
      <c r="A43" s="28"/>
      <c r="B43" s="28"/>
      <c r="C43" s="36" t="s">
        <v>37</v>
      </c>
      <c r="D43" s="28">
        <v>148825403</v>
      </c>
      <c r="E43" s="28">
        <v>303387</v>
      </c>
      <c r="F43" s="28">
        <v>10536486</v>
      </c>
      <c r="G43" s="28"/>
      <c r="H43" s="28">
        <f>31101041+23923878</f>
        <v>55024919</v>
      </c>
      <c r="I43" s="28">
        <f>47840180+2095065</f>
        <v>49935245</v>
      </c>
      <c r="J43" s="28">
        <v>142503</v>
      </c>
      <c r="K43" s="28">
        <f>12043720+75340+1667011+82261+188311</f>
        <v>14056643</v>
      </c>
      <c r="L43" s="28">
        <v>23782</v>
      </c>
      <c r="M43" s="28">
        <f t="shared" si="13"/>
        <v>278848368</v>
      </c>
    </row>
    <row r="44" spans="1:13" s="31" customFormat="1" ht="16.5" customHeight="1">
      <c r="A44" s="28"/>
      <c r="B44" s="28"/>
      <c r="C44" s="36" t="s">
        <v>57</v>
      </c>
      <c r="D44" s="28">
        <v>4687792952</v>
      </c>
      <c r="E44" s="28">
        <v>688597437</v>
      </c>
      <c r="F44" s="28">
        <v>239745851</v>
      </c>
      <c r="G44" s="28">
        <v>3408896</v>
      </c>
      <c r="H44" s="28">
        <f>1105427304+856507382+4524981</f>
        <v>1966459667</v>
      </c>
      <c r="I44" s="28">
        <f>1910556534+1934982</f>
        <v>1912491516</v>
      </c>
      <c r="J44" s="28"/>
      <c r="K44" s="28">
        <f>418129423.8+3748051+129296513+9858145+212240267</f>
        <v>773272399.8</v>
      </c>
      <c r="L44" s="28">
        <v>748942</v>
      </c>
      <c r="M44" s="28">
        <f t="shared" si="13"/>
        <v>10272517660.8</v>
      </c>
    </row>
    <row r="45" spans="1:13" s="31" customFormat="1" ht="23.25" customHeight="1">
      <c r="A45" s="30">
        <f>A46+A47+SUM(A48:A52)</f>
        <v>1977536929</v>
      </c>
      <c r="B45" s="30"/>
      <c r="C45" s="35" t="s">
        <v>22</v>
      </c>
      <c r="D45" s="30">
        <f aca="true" t="shared" si="16" ref="D45:M45">D46+D47+SUM(D48:D52)</f>
        <v>50838909672.34</v>
      </c>
      <c r="E45" s="30">
        <f t="shared" si="16"/>
        <v>989235029</v>
      </c>
      <c r="F45" s="30">
        <f t="shared" si="16"/>
        <v>4237625212.74</v>
      </c>
      <c r="G45" s="30">
        <f t="shared" si="16"/>
        <v>925878301</v>
      </c>
      <c r="H45" s="30">
        <f t="shared" si="16"/>
        <v>19010850417</v>
      </c>
      <c r="I45" s="30">
        <f t="shared" si="16"/>
        <v>31078256993</v>
      </c>
      <c r="J45" s="30">
        <f t="shared" si="16"/>
        <v>184773926</v>
      </c>
      <c r="K45" s="30">
        <f t="shared" si="16"/>
        <v>5312841398</v>
      </c>
      <c r="L45" s="30">
        <f t="shared" si="16"/>
        <v>2596414</v>
      </c>
      <c r="M45" s="30">
        <f t="shared" si="16"/>
        <v>112580967363.08</v>
      </c>
    </row>
    <row r="46" spans="1:13" s="31" customFormat="1" ht="16.5" customHeight="1" thickBot="1">
      <c r="A46" s="44"/>
      <c r="B46" s="44"/>
      <c r="C46" s="45" t="s">
        <v>60</v>
      </c>
      <c r="D46" s="44">
        <v>18532670064</v>
      </c>
      <c r="E46" s="44">
        <v>600288129</v>
      </c>
      <c r="F46" s="44">
        <v>790022383</v>
      </c>
      <c r="G46" s="44">
        <v>576289497</v>
      </c>
      <c r="H46" s="44">
        <f>3876437207+2981874773+194732102</f>
        <v>7053044082</v>
      </c>
      <c r="I46" s="44">
        <f>22426082013+207653951</f>
        <v>22633735964</v>
      </c>
      <c r="J46" s="44">
        <v>183170451</v>
      </c>
      <c r="K46" s="44">
        <v>2306673007</v>
      </c>
      <c r="L46" s="44">
        <v>922990</v>
      </c>
      <c r="M46" s="44">
        <f aca="true" t="shared" si="17" ref="M46:M52">SUM(D46:L46)</f>
        <v>52676816567</v>
      </c>
    </row>
    <row r="47" spans="1:13" s="39" customFormat="1" ht="16.5" customHeight="1">
      <c r="A47" s="38">
        <v>1977536929</v>
      </c>
      <c r="B47" s="38"/>
      <c r="C47" s="32" t="s">
        <v>23</v>
      </c>
      <c r="D47" s="38">
        <v>22096676401</v>
      </c>
      <c r="E47" s="38">
        <v>13173908</v>
      </c>
      <c r="F47" s="38">
        <v>1653961959</v>
      </c>
      <c r="G47" s="38">
        <v>323353145</v>
      </c>
      <c r="H47" s="38">
        <f>4587690778+3528992906+216994485</f>
        <v>8333678169</v>
      </c>
      <c r="I47" s="38">
        <f>1061092086+129331345</f>
        <v>1190423431</v>
      </c>
      <c r="J47" s="38">
        <v>1603475</v>
      </c>
      <c r="K47" s="38">
        <f>1052347414+38736767+268714902+31622777+279837272</f>
        <v>1671259132</v>
      </c>
      <c r="L47" s="38">
        <v>1339026</v>
      </c>
      <c r="M47" s="38">
        <f t="shared" si="17"/>
        <v>35285468646</v>
      </c>
    </row>
    <row r="48" spans="1:13" s="31" customFormat="1" ht="16.5" customHeight="1">
      <c r="A48" s="28"/>
      <c r="B48" s="28"/>
      <c r="C48" s="37" t="s">
        <v>52</v>
      </c>
      <c r="D48" s="28">
        <v>6909240006.34</v>
      </c>
      <c r="E48" s="28">
        <v>252191929</v>
      </c>
      <c r="F48" s="28">
        <v>1544452299.74</v>
      </c>
      <c r="G48" s="28">
        <v>21866305</v>
      </c>
      <c r="H48" s="28">
        <f>1665114958+687960888</f>
        <v>2353075846</v>
      </c>
      <c r="I48" s="28">
        <f>5399721192+492765487</f>
        <v>5892486679</v>
      </c>
      <c r="J48" s="28"/>
      <c r="K48" s="28">
        <f>619794918+8098371+37366697+7343816+271338469</f>
        <v>943942271</v>
      </c>
      <c r="L48" s="28">
        <v>170075</v>
      </c>
      <c r="M48" s="28">
        <f t="shared" si="17"/>
        <v>17917425411.08</v>
      </c>
    </row>
    <row r="49" spans="1:13" s="31" customFormat="1" ht="16.5" customHeight="1">
      <c r="A49" s="28"/>
      <c r="B49" s="28"/>
      <c r="C49" s="37" t="s">
        <v>53</v>
      </c>
      <c r="D49" s="28">
        <v>1331034822</v>
      </c>
      <c r="E49" s="28">
        <v>17213811</v>
      </c>
      <c r="F49" s="28">
        <v>85708651</v>
      </c>
      <c r="G49" s="28">
        <v>152125</v>
      </c>
      <c r="H49" s="28">
        <f>279550110+215038546+151200</f>
        <v>494739856</v>
      </c>
      <c r="I49" s="28">
        <f>558566972+13687328</f>
        <v>572254300</v>
      </c>
      <c r="J49" s="28"/>
      <c r="K49" s="28">
        <f>91385237+477182+7465039+660475+15930782</f>
        <v>115918715</v>
      </c>
      <c r="L49" s="28">
        <v>37648</v>
      </c>
      <c r="M49" s="28">
        <f t="shared" si="17"/>
        <v>2617059928</v>
      </c>
    </row>
    <row r="50" spans="1:13" s="31" customFormat="1" ht="16.5" customHeight="1">
      <c r="A50" s="28"/>
      <c r="B50" s="28"/>
      <c r="C50" s="37" t="s">
        <v>54</v>
      </c>
      <c r="D50" s="28">
        <v>448255846</v>
      </c>
      <c r="E50" s="28">
        <v>14527998</v>
      </c>
      <c r="F50" s="28">
        <v>35277959</v>
      </c>
      <c r="G50" s="28"/>
      <c r="H50" s="28">
        <f>98631315+76844638+126000</f>
        <v>175601953</v>
      </c>
      <c r="I50" s="28">
        <f>121154695+4709252</f>
        <v>125863947</v>
      </c>
      <c r="J50" s="28"/>
      <c r="K50" s="28">
        <v>58170379</v>
      </c>
      <c r="L50" s="28">
        <v>34733</v>
      </c>
      <c r="M50" s="28">
        <f t="shared" si="17"/>
        <v>857732815</v>
      </c>
    </row>
    <row r="51" spans="1:13" s="31" customFormat="1" ht="16.5" customHeight="1">
      <c r="A51" s="28"/>
      <c r="B51" s="28"/>
      <c r="C51" s="37" t="s">
        <v>55</v>
      </c>
      <c r="D51" s="28">
        <v>1345727711</v>
      </c>
      <c r="E51" s="28">
        <v>91669254</v>
      </c>
      <c r="F51" s="28">
        <v>116879951</v>
      </c>
      <c r="G51" s="28">
        <v>2572445</v>
      </c>
      <c r="H51" s="28">
        <f>311481702+239601309+295800</f>
        <v>551378811</v>
      </c>
      <c r="I51" s="28">
        <f>544681000+29781327</f>
        <v>574462327</v>
      </c>
      <c r="J51" s="28"/>
      <c r="K51" s="28">
        <v>197369331</v>
      </c>
      <c r="L51" s="28">
        <v>76844</v>
      </c>
      <c r="M51" s="28">
        <f t="shared" si="17"/>
        <v>2880136674</v>
      </c>
    </row>
    <row r="52" spans="1:13" s="31" customFormat="1" ht="16.5" customHeight="1">
      <c r="A52" s="28"/>
      <c r="B52" s="28"/>
      <c r="C52" s="37" t="s">
        <v>56</v>
      </c>
      <c r="D52" s="28">
        <v>175304822</v>
      </c>
      <c r="E52" s="28">
        <v>170000</v>
      </c>
      <c r="F52" s="28">
        <v>11322010</v>
      </c>
      <c r="G52" s="28">
        <v>1644784</v>
      </c>
      <c r="H52" s="28">
        <f>19704500+29490000+137200</f>
        <v>49331700</v>
      </c>
      <c r="I52" s="28">
        <f>86909384+2120961</f>
        <v>89030345</v>
      </c>
      <c r="J52" s="28"/>
      <c r="K52" s="28">
        <v>19508563</v>
      </c>
      <c r="L52" s="28">
        <v>15098</v>
      </c>
      <c r="M52" s="28">
        <f t="shared" si="17"/>
        <v>346327322</v>
      </c>
    </row>
    <row r="53" spans="1:13" s="31" customFormat="1" ht="26.25" customHeight="1">
      <c r="A53" s="30"/>
      <c r="B53" s="30"/>
      <c r="C53" s="52" t="s">
        <v>68</v>
      </c>
      <c r="D53" s="30">
        <f>D54</f>
        <v>1383928482.56</v>
      </c>
      <c r="E53" s="30">
        <f aca="true" t="shared" si="18" ref="E53:M53">E54</f>
        <v>277038709</v>
      </c>
      <c r="F53" s="30">
        <f t="shared" si="18"/>
        <v>135748160</v>
      </c>
      <c r="G53" s="30">
        <f t="shared" si="18"/>
        <v>311921296.82</v>
      </c>
      <c r="H53" s="30">
        <f t="shared" si="18"/>
        <v>267411825</v>
      </c>
      <c r="I53" s="30">
        <f t="shared" si="18"/>
        <v>801420699</v>
      </c>
      <c r="J53" s="30">
        <f t="shared" si="18"/>
        <v>0</v>
      </c>
      <c r="K53" s="30">
        <f t="shared" si="18"/>
        <v>264537115.87</v>
      </c>
      <c r="L53" s="30">
        <f t="shared" si="18"/>
        <v>270785</v>
      </c>
      <c r="M53" s="30">
        <f t="shared" si="18"/>
        <v>3442277073.25</v>
      </c>
    </row>
    <row r="54" spans="1:13" s="31" customFormat="1" ht="16.5" customHeight="1">
      <c r="A54" s="28"/>
      <c r="B54" s="28"/>
      <c r="C54" s="32" t="s">
        <v>38</v>
      </c>
      <c r="D54" s="28">
        <f aca="true" t="shared" si="19" ref="D54:L54">D55+D56</f>
        <v>1383928482.56</v>
      </c>
      <c r="E54" s="28">
        <f t="shared" si="19"/>
        <v>277038709</v>
      </c>
      <c r="F54" s="28">
        <f t="shared" si="19"/>
        <v>135748160</v>
      </c>
      <c r="G54" s="28">
        <f t="shared" si="19"/>
        <v>311921296.82</v>
      </c>
      <c r="H54" s="28">
        <f t="shared" si="19"/>
        <v>267411825</v>
      </c>
      <c r="I54" s="28">
        <f t="shared" si="19"/>
        <v>801420699</v>
      </c>
      <c r="J54" s="28">
        <f t="shared" si="19"/>
        <v>0</v>
      </c>
      <c r="K54" s="28">
        <f t="shared" si="19"/>
        <v>264537115.87</v>
      </c>
      <c r="L54" s="28">
        <f t="shared" si="19"/>
        <v>270785</v>
      </c>
      <c r="M54" s="28">
        <f>M55+M56</f>
        <v>3442277073.25</v>
      </c>
    </row>
    <row r="55" spans="1:13" s="31" customFormat="1" ht="16.5" customHeight="1">
      <c r="A55" s="28"/>
      <c r="B55" s="28"/>
      <c r="C55" s="33" t="s">
        <v>31</v>
      </c>
      <c r="D55" s="28">
        <v>1362270199</v>
      </c>
      <c r="E55" s="28">
        <v>277038709</v>
      </c>
      <c r="F55" s="28">
        <v>135748160</v>
      </c>
      <c r="G55" s="28">
        <v>306256147</v>
      </c>
      <c r="H55" s="28">
        <f>263196595+149200</f>
        <v>263345795</v>
      </c>
      <c r="I55" s="28">
        <v>798652237</v>
      </c>
      <c r="J55" s="28"/>
      <c r="K55" s="28">
        <v>262783086.87</v>
      </c>
      <c r="L55" s="28">
        <v>270785</v>
      </c>
      <c r="M55" s="28">
        <f>SUM(D55:L55)</f>
        <v>3406365118.87</v>
      </c>
    </row>
    <row r="56" spans="1:13" s="31" customFormat="1" ht="16.5" customHeight="1">
      <c r="A56" s="28"/>
      <c r="B56" s="28"/>
      <c r="C56" s="34" t="s">
        <v>45</v>
      </c>
      <c r="D56" s="28">
        <v>21658283.56</v>
      </c>
      <c r="E56" s="28"/>
      <c r="F56" s="28"/>
      <c r="G56" s="28">
        <v>5665149.82</v>
      </c>
      <c r="H56" s="28">
        <f>4066030</f>
        <v>4066030</v>
      </c>
      <c r="I56" s="28">
        <v>2768462</v>
      </c>
      <c r="J56" s="28"/>
      <c r="K56" s="28">
        <v>1754029</v>
      </c>
      <c r="L56" s="28"/>
      <c r="M56" s="28">
        <f>SUM(D56:L56)</f>
        <v>35911954.379999995</v>
      </c>
    </row>
    <row r="57" spans="1:13" s="31" customFormat="1" ht="28.5" customHeight="1">
      <c r="A57" s="28"/>
      <c r="B57" s="28"/>
      <c r="C57" s="35" t="s">
        <v>66</v>
      </c>
      <c r="D57" s="30">
        <f aca="true" t="shared" si="20" ref="D57:M57">D58</f>
        <v>905565902</v>
      </c>
      <c r="E57" s="30">
        <f t="shared" si="20"/>
        <v>104661104</v>
      </c>
      <c r="F57" s="30">
        <f t="shared" si="20"/>
        <v>62892237</v>
      </c>
      <c r="G57" s="30">
        <f t="shared" si="20"/>
        <v>1641890</v>
      </c>
      <c r="H57" s="30">
        <f t="shared" si="20"/>
        <v>355955653</v>
      </c>
      <c r="I57" s="30">
        <f t="shared" si="20"/>
        <v>93819066</v>
      </c>
      <c r="J57" s="30"/>
      <c r="K57" s="30">
        <f t="shared" si="20"/>
        <v>157641389</v>
      </c>
      <c r="L57" s="30">
        <f t="shared" si="20"/>
        <v>34956</v>
      </c>
      <c r="M57" s="30">
        <f t="shared" si="20"/>
        <v>1682212197</v>
      </c>
    </row>
    <row r="58" spans="1:13" s="31" customFormat="1" ht="16.5" customHeight="1">
      <c r="A58" s="38"/>
      <c r="B58" s="38"/>
      <c r="C58" s="32" t="s">
        <v>24</v>
      </c>
      <c r="D58" s="38">
        <v>905565902</v>
      </c>
      <c r="E58" s="38">
        <v>104661104</v>
      </c>
      <c r="F58" s="38">
        <v>62892237</v>
      </c>
      <c r="G58" s="38">
        <v>1641890</v>
      </c>
      <c r="H58" s="38">
        <f>201216655+154738998</f>
        <v>355955653</v>
      </c>
      <c r="I58" s="38">
        <v>93819066</v>
      </c>
      <c r="J58" s="38"/>
      <c r="K58" s="38">
        <f>71319159+148740+84291092+727585+1338940-184127</f>
        <v>157641389</v>
      </c>
      <c r="L58" s="38">
        <v>34956</v>
      </c>
      <c r="M58" s="38">
        <f>SUM(D58:L58)</f>
        <v>1682212197</v>
      </c>
    </row>
    <row r="59" spans="1:13" s="31" customFormat="1" ht="32.25" customHeight="1">
      <c r="A59" s="28"/>
      <c r="B59" s="28"/>
      <c r="C59" s="35" t="s">
        <v>67</v>
      </c>
      <c r="D59" s="30">
        <f aca="true" t="shared" si="21" ref="D59:M59">D60</f>
        <v>1782743739</v>
      </c>
      <c r="E59" s="30">
        <f t="shared" si="21"/>
        <v>251130778</v>
      </c>
      <c r="F59" s="30">
        <f t="shared" si="21"/>
        <v>85553718</v>
      </c>
      <c r="G59" s="30">
        <f t="shared" si="21"/>
        <v>1601885</v>
      </c>
      <c r="H59" s="30">
        <f t="shared" si="21"/>
        <v>658544403</v>
      </c>
      <c r="I59" s="30">
        <f t="shared" si="21"/>
        <v>198087227</v>
      </c>
      <c r="J59" s="30">
        <f t="shared" si="21"/>
        <v>13796856</v>
      </c>
      <c r="K59" s="30">
        <f t="shared" si="21"/>
        <v>349003423</v>
      </c>
      <c r="L59" s="30">
        <f t="shared" si="21"/>
        <v>122615</v>
      </c>
      <c r="M59" s="30">
        <f t="shared" si="21"/>
        <v>3340584644</v>
      </c>
    </row>
    <row r="60" spans="1:13" s="31" customFormat="1" ht="16.5" customHeight="1">
      <c r="A60" s="28"/>
      <c r="B60" s="28"/>
      <c r="C60" s="32" t="s">
        <v>25</v>
      </c>
      <c r="D60" s="28">
        <v>1782743739</v>
      </c>
      <c r="E60" s="28">
        <v>251130778</v>
      </c>
      <c r="F60" s="28">
        <v>85553718</v>
      </c>
      <c r="G60" s="28">
        <v>1601885</v>
      </c>
      <c r="H60" s="28">
        <v>658544403</v>
      </c>
      <c r="I60" s="28">
        <f>198057947+29280</f>
        <v>198087227</v>
      </c>
      <c r="J60" s="28">
        <v>13796856</v>
      </c>
      <c r="K60" s="28">
        <v>349003423</v>
      </c>
      <c r="L60" s="28">
        <v>122615</v>
      </c>
      <c r="M60" s="28">
        <f>SUM(D60:L60)</f>
        <v>3340584644</v>
      </c>
    </row>
    <row r="61" spans="1:13" s="31" customFormat="1" ht="16.5" customHeight="1">
      <c r="A61" s="28"/>
      <c r="B61" s="28"/>
      <c r="C61" s="32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31" customFormat="1" ht="16.5" customHeight="1">
      <c r="A62" s="28"/>
      <c r="B62" s="28"/>
      <c r="C62" s="32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s="31" customFormat="1" ht="16.5" customHeight="1">
      <c r="A63" s="28"/>
      <c r="B63" s="28"/>
      <c r="C63" s="32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31" customFormat="1" ht="16.5" customHeight="1">
      <c r="A64" s="28"/>
      <c r="B64" s="28"/>
      <c r="C64" s="32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31" customFormat="1" ht="16.5" customHeight="1">
      <c r="A65" s="28"/>
      <c r="B65" s="28"/>
      <c r="C65" s="32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s="31" customFormat="1" ht="16.5" customHeight="1">
      <c r="A66" s="28"/>
      <c r="B66" s="28"/>
      <c r="C66" s="32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31" customFormat="1" ht="16.5" customHeight="1">
      <c r="A67" s="28"/>
      <c r="B67" s="28"/>
      <c r="C67" s="32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31" customFormat="1" ht="16.5" customHeight="1">
      <c r="A68" s="28"/>
      <c r="B68" s="28"/>
      <c r="C68" s="32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31" customFormat="1" ht="16.5" customHeight="1">
      <c r="A69" s="28"/>
      <c r="B69" s="28"/>
      <c r="C69" s="32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31" customFormat="1" ht="16.5" customHeight="1">
      <c r="A70" s="28"/>
      <c r="B70" s="28"/>
      <c r="C70" s="32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s="31" customFormat="1" ht="16.5" customHeight="1">
      <c r="A71" s="28"/>
      <c r="B71" s="28"/>
      <c r="C71" s="32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31" customFormat="1" ht="16.5" customHeight="1">
      <c r="A72" s="28"/>
      <c r="B72" s="28"/>
      <c r="C72" s="32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s="31" customFormat="1" ht="16.5" customHeight="1">
      <c r="A73" s="28"/>
      <c r="B73" s="28"/>
      <c r="C73" s="32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31" customFormat="1" ht="16.5" customHeight="1">
      <c r="A74" s="28"/>
      <c r="B74" s="28"/>
      <c r="C74" s="32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31" customFormat="1" ht="16.5" customHeight="1">
      <c r="A75" s="28"/>
      <c r="B75" s="28"/>
      <c r="C75" s="32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s="31" customFormat="1" ht="16.5" customHeight="1">
      <c r="A76" s="28"/>
      <c r="B76" s="28"/>
      <c r="C76" s="32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s="31" customFormat="1" ht="16.5" customHeight="1">
      <c r="A77" s="28"/>
      <c r="B77" s="28"/>
      <c r="C77" s="32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s="31" customFormat="1" ht="16.5" customHeight="1">
      <c r="A78" s="28"/>
      <c r="B78" s="28"/>
      <c r="C78" s="32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s="31" customFormat="1" ht="16.5" customHeight="1">
      <c r="A79" s="28"/>
      <c r="B79" s="28"/>
      <c r="C79" s="32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pans="1:13" s="31" customFormat="1" ht="16.5" customHeight="1">
      <c r="A80" s="28"/>
      <c r="B80" s="28"/>
      <c r="C80" s="32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3" s="31" customFormat="1" ht="16.5" customHeight="1">
      <c r="A81" s="28"/>
      <c r="B81" s="28"/>
      <c r="C81" s="32"/>
      <c r="D81" s="28"/>
      <c r="E81" s="28"/>
      <c r="F81" s="28"/>
      <c r="G81" s="28"/>
      <c r="H81" s="28"/>
      <c r="I81" s="28"/>
      <c r="J81" s="28"/>
      <c r="K81" s="28"/>
      <c r="L81" s="28"/>
      <c r="M81" s="28"/>
    </row>
    <row r="82" spans="1:13" s="31" customFormat="1" ht="16.5" customHeight="1">
      <c r="A82" s="28"/>
      <c r="B82" s="28"/>
      <c r="C82" s="32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31" customFormat="1" ht="17.25" customHeight="1">
      <c r="A83" s="28"/>
      <c r="B83" s="28"/>
      <c r="C83" s="32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s="31" customFormat="1" ht="16.5" customHeight="1">
      <c r="A84" s="28"/>
      <c r="B84" s="28"/>
      <c r="C84" s="32"/>
      <c r="D84" s="28"/>
      <c r="E84" s="28"/>
      <c r="F84" s="28"/>
      <c r="G84" s="28"/>
      <c r="H84" s="28"/>
      <c r="I84" s="28"/>
      <c r="J84" s="28"/>
      <c r="K84" s="28"/>
      <c r="L84" s="28"/>
      <c r="M84" s="28"/>
    </row>
    <row r="85" spans="1:13" s="31" customFormat="1" ht="16.5" customHeight="1">
      <c r="A85" s="28"/>
      <c r="B85" s="28"/>
      <c r="C85" s="32"/>
      <c r="D85" s="28"/>
      <c r="E85" s="28"/>
      <c r="F85" s="28"/>
      <c r="G85" s="28"/>
      <c r="H85" s="28"/>
      <c r="I85" s="28"/>
      <c r="J85" s="28"/>
      <c r="K85" s="28"/>
      <c r="L85" s="28"/>
      <c r="M85" s="28"/>
    </row>
    <row r="86" spans="1:13" s="31" customFormat="1" ht="16.5" customHeight="1">
      <c r="A86" s="28"/>
      <c r="B86" s="28"/>
      <c r="C86" s="32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s="31" customFormat="1" ht="16.5" customHeight="1">
      <c r="A87" s="28"/>
      <c r="B87" s="28"/>
      <c r="C87" s="32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="40" customFormat="1" ht="12.75" customHeight="1"/>
    <row r="89" spans="1:13" s="43" customFormat="1" ht="21.75" customHeight="1" thickBot="1">
      <c r="A89" s="41">
        <f>A6+A10+A26+A45+A53+A57+A59</f>
        <v>9272438906</v>
      </c>
      <c r="B89" s="41"/>
      <c r="C89" s="42" t="s">
        <v>39</v>
      </c>
      <c r="D89" s="41">
        <f>D6+D10+D26+D45+D53+D57+D59</f>
        <v>121752680641.5</v>
      </c>
      <c r="E89" s="41">
        <f aca="true" t="shared" si="22" ref="E89:M89">E6+E10+E26+E45+E53+E57+E59</f>
        <v>3195041730</v>
      </c>
      <c r="F89" s="41">
        <f t="shared" si="22"/>
        <v>11715824622.71</v>
      </c>
      <c r="G89" s="41">
        <f t="shared" si="22"/>
        <v>3128743362.35</v>
      </c>
      <c r="H89" s="41">
        <f t="shared" si="22"/>
        <v>43769218519.979996</v>
      </c>
      <c r="I89" s="41">
        <f t="shared" si="22"/>
        <v>50462443161.95</v>
      </c>
      <c r="J89" s="41">
        <f t="shared" si="22"/>
        <v>312330930</v>
      </c>
      <c r="K89" s="41">
        <f t="shared" si="22"/>
        <v>14332572204.520002</v>
      </c>
      <c r="L89" s="41">
        <f t="shared" si="22"/>
        <v>9574638.74</v>
      </c>
      <c r="M89" s="41">
        <f t="shared" si="22"/>
        <v>248679022029.75</v>
      </c>
    </row>
  </sheetData>
  <mergeCells count="1">
    <mergeCell ref="A5:B5"/>
  </mergeCells>
  <printOptions horizontalCentered="1"/>
  <pageMargins left="0.5905511811023623" right="0.5905511811023623" top="0.8661417322834646" bottom="0.8661417322834646" header="0.5118110236220472" footer="0.5118110236220472"/>
  <pageSetup horizontalDpi="300" verticalDpi="3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="90" zoomScaleNormal="90" workbookViewId="0" topLeftCell="A1">
      <selection activeCell="D16" sqref="D16"/>
    </sheetView>
  </sheetViews>
  <sheetFormatPr defaultColWidth="9.00390625" defaultRowHeight="15.75"/>
  <cols>
    <col min="1" max="1" width="14.50390625" style="5" customWidth="1"/>
    <col min="2" max="2" width="1.37890625" style="5" customWidth="1"/>
    <col min="3" max="3" width="29.00390625" style="5" customWidth="1"/>
    <col min="4" max="4" width="15.25390625" style="5" customWidth="1"/>
    <col min="5" max="5" width="14.125" style="5" customWidth="1"/>
    <col min="6" max="6" width="14.75390625" style="5" customWidth="1"/>
    <col min="7" max="7" width="13.625" style="5" customWidth="1"/>
    <col min="8" max="8" width="14.375" style="5" customWidth="1"/>
    <col min="9" max="9" width="14.50390625" style="5" customWidth="1"/>
    <col min="10" max="10" width="12.375" style="5" customWidth="1"/>
    <col min="11" max="11" width="14.375" style="5" customWidth="1"/>
    <col min="12" max="12" width="11.50390625" style="5" customWidth="1"/>
    <col min="13" max="13" width="15.375" style="5" customWidth="1"/>
    <col min="14" max="16384" width="9.00390625" style="5" customWidth="1"/>
  </cols>
  <sheetData>
    <row r="1" spans="1:13" s="7" customFormat="1" ht="16.5">
      <c r="A1" s="1" t="s">
        <v>26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6" t="s">
        <v>0</v>
      </c>
    </row>
    <row r="2" spans="1:13" s="7" customFormat="1" ht="30" customHeight="1">
      <c r="A2" s="4" t="s">
        <v>1</v>
      </c>
      <c r="B2" s="4"/>
      <c r="C2" s="55" t="s">
        <v>59</v>
      </c>
      <c r="D2" s="55"/>
      <c r="E2" s="55"/>
      <c r="F2" s="55"/>
      <c r="G2" s="10" t="s">
        <v>58</v>
      </c>
      <c r="H2" s="8"/>
      <c r="I2" s="11"/>
      <c r="J2" s="11"/>
      <c r="K2" s="4"/>
      <c r="L2" s="4"/>
      <c r="M2" s="4"/>
    </row>
    <row r="3" spans="1:13" s="7" customFormat="1" ht="19.5" customHeight="1" thickBot="1">
      <c r="A3" s="4"/>
      <c r="B3" s="4"/>
      <c r="C3" s="12"/>
      <c r="D3" s="13"/>
      <c r="E3" s="13"/>
      <c r="F3" s="13"/>
      <c r="G3" s="14"/>
      <c r="H3" s="13"/>
      <c r="I3" s="4"/>
      <c r="J3" s="4"/>
      <c r="K3" s="4"/>
      <c r="L3" s="5"/>
      <c r="M3" s="6" t="s">
        <v>51</v>
      </c>
    </row>
    <row r="4" spans="1:13" s="7" customFormat="1" ht="19.5" customHeight="1">
      <c r="A4" s="15" t="s">
        <v>29</v>
      </c>
      <c r="B4" s="15"/>
      <c r="C4" s="16"/>
      <c r="D4" s="17" t="s">
        <v>46</v>
      </c>
      <c r="E4" s="18"/>
      <c r="F4" s="19"/>
      <c r="G4" s="20" t="s">
        <v>2</v>
      </c>
      <c r="H4" s="21"/>
      <c r="I4" s="19"/>
      <c r="J4" s="19"/>
      <c r="K4" s="19"/>
      <c r="L4" s="20" t="s">
        <v>3</v>
      </c>
      <c r="M4" s="19"/>
    </row>
    <row r="5" spans="1:13" s="7" customFormat="1" ht="33.75" customHeight="1" thickBot="1">
      <c r="A5" s="53" t="s">
        <v>47</v>
      </c>
      <c r="B5" s="54"/>
      <c r="C5" s="22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5" t="s">
        <v>9</v>
      </c>
      <c r="I5" s="26" t="s">
        <v>43</v>
      </c>
      <c r="J5" s="26" t="s">
        <v>28</v>
      </c>
      <c r="K5" s="25" t="s">
        <v>10</v>
      </c>
      <c r="L5" s="25" t="s">
        <v>11</v>
      </c>
      <c r="M5" s="27" t="s">
        <v>12</v>
      </c>
    </row>
    <row r="6" spans="1:13" s="31" customFormat="1" ht="15" customHeight="1">
      <c r="A6" s="28"/>
      <c r="B6" s="28"/>
      <c r="C6" s="29" t="s">
        <v>13</v>
      </c>
      <c r="D6" s="30">
        <f aca="true" t="shared" si="0" ref="D6:M6">D7</f>
        <v>1937885000</v>
      </c>
      <c r="E6" s="30"/>
      <c r="F6" s="30">
        <f t="shared" si="0"/>
        <v>158502000</v>
      </c>
      <c r="G6" s="30">
        <f t="shared" si="0"/>
        <v>39305000</v>
      </c>
      <c r="H6" s="30">
        <f t="shared" si="0"/>
        <v>728476000</v>
      </c>
      <c r="I6" s="30">
        <f t="shared" si="0"/>
        <v>295323000</v>
      </c>
      <c r="J6" s="30"/>
      <c r="K6" s="30">
        <f t="shared" si="0"/>
        <v>234011000</v>
      </c>
      <c r="L6" s="30">
        <f t="shared" si="0"/>
        <v>145000</v>
      </c>
      <c r="M6" s="30">
        <f t="shared" si="0"/>
        <v>3393647000</v>
      </c>
    </row>
    <row r="7" spans="1:13" s="31" customFormat="1" ht="16.5" customHeight="1">
      <c r="A7" s="28" t="s">
        <v>34</v>
      </c>
      <c r="B7" s="28"/>
      <c r="C7" s="32" t="s">
        <v>30</v>
      </c>
      <c r="D7" s="28">
        <f aca="true" t="shared" si="1" ref="D7:M7">SUM(D8:D9)</f>
        <v>1937885000</v>
      </c>
      <c r="E7" s="28"/>
      <c r="F7" s="28">
        <f t="shared" si="1"/>
        <v>158502000</v>
      </c>
      <c r="G7" s="28">
        <f t="shared" si="1"/>
        <v>39305000</v>
      </c>
      <c r="H7" s="28">
        <f t="shared" si="1"/>
        <v>728476000</v>
      </c>
      <c r="I7" s="28">
        <f t="shared" si="1"/>
        <v>295323000</v>
      </c>
      <c r="J7" s="28"/>
      <c r="K7" s="28">
        <f t="shared" si="1"/>
        <v>234011000</v>
      </c>
      <c r="L7" s="28">
        <f t="shared" si="1"/>
        <v>145000</v>
      </c>
      <c r="M7" s="28">
        <f t="shared" si="1"/>
        <v>3393647000</v>
      </c>
    </row>
    <row r="8" spans="1:13" s="31" customFormat="1" ht="16.5" customHeight="1">
      <c r="A8" s="28"/>
      <c r="B8" s="28"/>
      <c r="C8" s="33" t="s">
        <v>31</v>
      </c>
      <c r="D8" s="28">
        <v>1921630000</v>
      </c>
      <c r="E8" s="28"/>
      <c r="F8" s="28">
        <v>157709000</v>
      </c>
      <c r="G8" s="28">
        <v>2401000</v>
      </c>
      <c r="H8" s="28">
        <f>404640000+311262000+9149000</f>
        <v>725051000</v>
      </c>
      <c r="I8" s="28">
        <f>274406000+19755000</f>
        <v>294161000</v>
      </c>
      <c r="J8" s="28"/>
      <c r="K8" s="28">
        <f>128605000+2422000+45960000+1367000+53952000</f>
        <v>232306000</v>
      </c>
      <c r="L8" s="28">
        <v>145000</v>
      </c>
      <c r="M8" s="28">
        <f>SUM(D8:L8)</f>
        <v>3333403000</v>
      </c>
    </row>
    <row r="9" spans="1:13" s="31" customFormat="1" ht="16.5" customHeight="1">
      <c r="A9" s="28"/>
      <c r="B9" s="28"/>
      <c r="C9" s="34" t="s">
        <v>32</v>
      </c>
      <c r="D9" s="28">
        <v>16255000</v>
      </c>
      <c r="E9" s="28"/>
      <c r="F9" s="28">
        <v>793000</v>
      </c>
      <c r="G9" s="28">
        <v>36904000</v>
      </c>
      <c r="H9" s="28">
        <f>1936000+1489000</f>
        <v>3425000</v>
      </c>
      <c r="I9" s="28">
        <v>1162000</v>
      </c>
      <c r="J9" s="28"/>
      <c r="K9" s="28">
        <f>1537000+3000+5000+160000</f>
        <v>1705000</v>
      </c>
      <c r="L9" s="28"/>
      <c r="M9" s="28">
        <f>SUM(D9:L9)</f>
        <v>60244000</v>
      </c>
    </row>
    <row r="10" spans="1:13" s="31" customFormat="1" ht="16.5" customHeight="1">
      <c r="A10" s="30">
        <f>A11+SUM(A14:A15)+A18+A21+SUM(A24:A25)</f>
        <v>8019856000</v>
      </c>
      <c r="B10" s="30"/>
      <c r="C10" s="35" t="s">
        <v>14</v>
      </c>
      <c r="D10" s="30">
        <f aca="true" t="shared" si="2" ref="D10:M10">D11+SUM(D14:D15)+D18+D21+SUM(D24:D25)</f>
        <v>45595597000</v>
      </c>
      <c r="E10" s="30">
        <f t="shared" si="2"/>
        <v>519787000</v>
      </c>
      <c r="F10" s="30">
        <f t="shared" si="2"/>
        <v>5062102000</v>
      </c>
      <c r="G10" s="30">
        <f t="shared" si="2"/>
        <v>1727489000</v>
      </c>
      <c r="H10" s="30">
        <f t="shared" si="2"/>
        <v>13496693000</v>
      </c>
      <c r="I10" s="30">
        <f t="shared" si="2"/>
        <v>12490424000</v>
      </c>
      <c r="J10" s="30">
        <f t="shared" si="2"/>
        <v>245970000</v>
      </c>
      <c r="K10" s="30">
        <f t="shared" si="2"/>
        <v>5676909000</v>
      </c>
      <c r="L10" s="30">
        <f t="shared" si="2"/>
        <v>8655000</v>
      </c>
      <c r="M10" s="30">
        <f t="shared" si="2"/>
        <v>84823626000</v>
      </c>
    </row>
    <row r="11" spans="1:13" s="31" customFormat="1" ht="16.5" customHeight="1">
      <c r="A11" s="28"/>
      <c r="B11" s="28"/>
      <c r="C11" s="32" t="s">
        <v>15</v>
      </c>
      <c r="D11" s="28">
        <f aca="true" t="shared" si="3" ref="D11:M11">D12+D13</f>
        <v>4638052000</v>
      </c>
      <c r="E11" s="28">
        <f t="shared" si="3"/>
        <v>117648000</v>
      </c>
      <c r="F11" s="28">
        <f t="shared" si="3"/>
        <v>585698000</v>
      </c>
      <c r="G11" s="28">
        <f t="shared" si="3"/>
        <v>17478000</v>
      </c>
      <c r="H11" s="28">
        <f t="shared" si="3"/>
        <v>1064104000</v>
      </c>
      <c r="I11" s="28">
        <f t="shared" si="3"/>
        <v>1445984000</v>
      </c>
      <c r="J11" s="28">
        <f t="shared" si="3"/>
        <v>120000000</v>
      </c>
      <c r="K11" s="28">
        <f t="shared" si="3"/>
        <v>703011000</v>
      </c>
      <c r="L11" s="28">
        <f t="shared" si="3"/>
        <v>510000</v>
      </c>
      <c r="M11" s="28">
        <f t="shared" si="3"/>
        <v>8692485000</v>
      </c>
    </row>
    <row r="12" spans="1:13" s="31" customFormat="1" ht="16.5" customHeight="1">
      <c r="A12" s="28">
        <v>50113000</v>
      </c>
      <c r="B12" s="28"/>
      <c r="C12" s="33" t="s">
        <v>31</v>
      </c>
      <c r="D12" s="28">
        <v>4572781000</v>
      </c>
      <c r="E12" s="28">
        <v>117648000</v>
      </c>
      <c r="F12" s="28">
        <v>577508000</v>
      </c>
      <c r="G12" s="28">
        <v>17225000</v>
      </c>
      <c r="H12" s="28">
        <f>195194000+780708000+73366000</f>
        <v>1049268000</v>
      </c>
      <c r="I12" s="28">
        <f>1341931000+84062000</f>
        <v>1425993000</v>
      </c>
      <c r="J12" s="28">
        <v>120000000</v>
      </c>
      <c r="K12" s="28">
        <f>357416000+3191000+50109000+3521000+283965000</f>
        <v>698202000</v>
      </c>
      <c r="L12" s="28">
        <v>510000</v>
      </c>
      <c r="M12" s="28">
        <f aca="true" t="shared" si="4" ref="M12:M17">SUM(D12:L12)</f>
        <v>8579135000</v>
      </c>
    </row>
    <row r="13" spans="1:13" s="31" customFormat="1" ht="16.5" customHeight="1">
      <c r="A13" s="28"/>
      <c r="B13" s="28"/>
      <c r="C13" s="34" t="s">
        <v>32</v>
      </c>
      <c r="D13" s="28">
        <v>65271000</v>
      </c>
      <c r="E13" s="28"/>
      <c r="F13" s="28">
        <v>8190000</v>
      </c>
      <c r="G13" s="28">
        <v>253000</v>
      </c>
      <c r="H13" s="28">
        <f>2884000+11071000+881000</f>
        <v>14836000</v>
      </c>
      <c r="I13" s="28">
        <f>19053000+938000</f>
        <v>19991000</v>
      </c>
      <c r="J13" s="28"/>
      <c r="K13" s="28">
        <f>3435000+30000+624000+52000+668000</f>
        <v>4809000</v>
      </c>
      <c r="L13" s="28"/>
      <c r="M13" s="28">
        <f t="shared" si="4"/>
        <v>113350000</v>
      </c>
    </row>
    <row r="14" spans="1:13" s="31" customFormat="1" ht="16.5" customHeight="1">
      <c r="A14" s="28"/>
      <c r="B14" s="28"/>
      <c r="C14" s="36" t="s">
        <v>16</v>
      </c>
      <c r="D14" s="28">
        <v>1544495000</v>
      </c>
      <c r="E14" s="28">
        <v>3410000</v>
      </c>
      <c r="F14" s="28">
        <v>121458000</v>
      </c>
      <c r="G14" s="28">
        <v>15611000</v>
      </c>
      <c r="H14" s="28">
        <f>1349000+230609000+59711000</f>
        <v>291669000</v>
      </c>
      <c r="I14" s="28">
        <f>99247000+3147000</f>
        <v>102394000</v>
      </c>
      <c r="J14" s="28">
        <v>1600000</v>
      </c>
      <c r="K14" s="28">
        <f>153130000+960000+43788000+1645000+1250000</f>
        <v>200773000</v>
      </c>
      <c r="L14" s="28">
        <v>400000</v>
      </c>
      <c r="M14" s="28">
        <f t="shared" si="4"/>
        <v>2281810000</v>
      </c>
    </row>
    <row r="15" spans="1:13" s="31" customFormat="1" ht="16.5" customHeight="1">
      <c r="A15" s="28">
        <f>A16+A17</f>
        <v>307999000</v>
      </c>
      <c r="B15" s="28"/>
      <c r="C15" s="32" t="s">
        <v>17</v>
      </c>
      <c r="D15" s="28">
        <f aca="true" t="shared" si="5" ref="D15:L15">D16+D17</f>
        <v>12531629000</v>
      </c>
      <c r="E15" s="28">
        <f t="shared" si="5"/>
        <v>138205000</v>
      </c>
      <c r="F15" s="28">
        <f t="shared" si="5"/>
        <v>1666210000</v>
      </c>
      <c r="G15" s="28">
        <f t="shared" si="5"/>
        <v>177684000</v>
      </c>
      <c r="H15" s="28">
        <f t="shared" si="5"/>
        <v>3071108000</v>
      </c>
      <c r="I15" s="28">
        <f t="shared" si="5"/>
        <v>3138008000</v>
      </c>
      <c r="J15" s="28">
        <f t="shared" si="5"/>
        <v>0</v>
      </c>
      <c r="K15" s="28">
        <f t="shared" si="5"/>
        <v>1732350000</v>
      </c>
      <c r="L15" s="28">
        <f t="shared" si="5"/>
        <v>4259000</v>
      </c>
      <c r="M15" s="28">
        <f t="shared" si="4"/>
        <v>22459453000</v>
      </c>
    </row>
    <row r="16" spans="1:13" s="31" customFormat="1" ht="16.5" customHeight="1">
      <c r="A16" s="28">
        <v>307999000</v>
      </c>
      <c r="B16" s="28"/>
      <c r="C16" s="33" t="s">
        <v>31</v>
      </c>
      <c r="D16" s="28">
        <v>12531629000</v>
      </c>
      <c r="E16" s="28">
        <v>138205000</v>
      </c>
      <c r="F16" s="28">
        <v>1666210000</v>
      </c>
      <c r="G16" s="28">
        <v>177684000</v>
      </c>
      <c r="H16" s="28">
        <v>3071108000</v>
      </c>
      <c r="I16" s="28">
        <v>3138008000</v>
      </c>
      <c r="J16" s="28"/>
      <c r="K16" s="28">
        <v>1732350000</v>
      </c>
      <c r="L16" s="28">
        <v>4259000</v>
      </c>
      <c r="M16" s="28">
        <f t="shared" si="4"/>
        <v>22459453000</v>
      </c>
    </row>
    <row r="17" spans="1:13" s="31" customFormat="1" ht="16.5" customHeight="1">
      <c r="A17" s="28"/>
      <c r="B17" s="28"/>
      <c r="C17" s="34" t="s">
        <v>32</v>
      </c>
      <c r="D17" s="28"/>
      <c r="E17" s="28"/>
      <c r="F17" s="28"/>
      <c r="G17" s="28"/>
      <c r="H17" s="28"/>
      <c r="I17" s="28"/>
      <c r="J17" s="28"/>
      <c r="K17" s="28"/>
      <c r="L17" s="28"/>
      <c r="M17" s="28">
        <f t="shared" si="4"/>
        <v>0</v>
      </c>
    </row>
    <row r="18" spans="1:13" s="31" customFormat="1" ht="16.5" customHeight="1">
      <c r="A18" s="28">
        <f>A19+A20</f>
        <v>7711857000</v>
      </c>
      <c r="B18" s="28"/>
      <c r="C18" s="32" t="s">
        <v>18</v>
      </c>
      <c r="D18" s="28">
        <f aca="true" t="shared" si="6" ref="D18:M18">D19+D20</f>
        <v>19370552000</v>
      </c>
      <c r="E18" s="28">
        <f t="shared" si="6"/>
        <v>15000000</v>
      </c>
      <c r="F18" s="28">
        <f t="shared" si="6"/>
        <v>2173643000</v>
      </c>
      <c r="G18" s="28">
        <f t="shared" si="6"/>
        <v>1474840000</v>
      </c>
      <c r="H18" s="28">
        <f t="shared" si="6"/>
        <v>7765730000</v>
      </c>
      <c r="I18" s="28">
        <f t="shared" si="6"/>
        <v>5848933000</v>
      </c>
      <c r="J18" s="28">
        <f t="shared" si="6"/>
        <v>114000000</v>
      </c>
      <c r="K18" s="28">
        <f t="shared" si="6"/>
        <v>2306117000</v>
      </c>
      <c r="L18" s="28">
        <f t="shared" si="6"/>
        <v>2263000</v>
      </c>
      <c r="M18" s="28">
        <f t="shared" si="6"/>
        <v>39071078000</v>
      </c>
    </row>
    <row r="19" spans="1:13" s="31" customFormat="1" ht="16.5" customHeight="1">
      <c r="A19" s="28">
        <v>7711857000</v>
      </c>
      <c r="B19" s="28"/>
      <c r="C19" s="33" t="s">
        <v>31</v>
      </c>
      <c r="D19" s="28">
        <v>19370552000</v>
      </c>
      <c r="E19" s="28">
        <v>15000000</v>
      </c>
      <c r="F19" s="28">
        <v>2173643000</v>
      </c>
      <c r="G19" s="28">
        <v>1474840000</v>
      </c>
      <c r="H19" s="28">
        <f>4163239000+3202491000+400000000</f>
        <v>7765730000</v>
      </c>
      <c r="I19" s="28">
        <f>5661936000+186997000</f>
        <v>5848933000</v>
      </c>
      <c r="J19" s="28">
        <v>114000000</v>
      </c>
      <c r="K19" s="28">
        <f>1468742000+117280000+606876000+31099000+82120000</f>
        <v>2306117000</v>
      </c>
      <c r="L19" s="28">
        <v>2263000</v>
      </c>
      <c r="M19" s="28">
        <f>SUM(D19:L19)</f>
        <v>39071078000</v>
      </c>
    </row>
    <row r="20" spans="1:13" s="31" customFormat="1" ht="16.5" customHeight="1">
      <c r="A20" s="28"/>
      <c r="B20" s="28"/>
      <c r="C20" s="34" t="s">
        <v>32</v>
      </c>
      <c r="D20" s="28"/>
      <c r="E20" s="28"/>
      <c r="F20" s="28"/>
      <c r="G20" s="28"/>
      <c r="H20" s="28"/>
      <c r="I20" s="28"/>
      <c r="J20" s="28"/>
      <c r="K20" s="28"/>
      <c r="L20" s="28"/>
      <c r="M20" s="28">
        <f>SUM(D20:L20)</f>
        <v>0</v>
      </c>
    </row>
    <row r="21" spans="1:13" s="31" customFormat="1" ht="16.5" customHeight="1">
      <c r="A21" s="28"/>
      <c r="B21" s="28"/>
      <c r="C21" s="32" t="s">
        <v>19</v>
      </c>
      <c r="D21" s="28">
        <f aca="true" t="shared" si="7" ref="D21:M21">D22+D23</f>
        <v>2305098000</v>
      </c>
      <c r="E21" s="28">
        <f t="shared" si="7"/>
        <v>117909000</v>
      </c>
      <c r="F21" s="28">
        <f t="shared" si="7"/>
        <v>135898000</v>
      </c>
      <c r="G21" s="28">
        <f t="shared" si="7"/>
        <v>32070000</v>
      </c>
      <c r="H21" s="28">
        <f t="shared" si="7"/>
        <v>502788000</v>
      </c>
      <c r="I21" s="28">
        <f t="shared" si="7"/>
        <v>436484000</v>
      </c>
      <c r="J21" s="28"/>
      <c r="K21" s="28">
        <f t="shared" si="7"/>
        <v>225733000</v>
      </c>
      <c r="L21" s="28">
        <f t="shared" si="7"/>
        <v>445000</v>
      </c>
      <c r="M21" s="28">
        <f t="shared" si="7"/>
        <v>3756425000</v>
      </c>
    </row>
    <row r="22" spans="1:13" s="31" customFormat="1" ht="16.5" customHeight="1">
      <c r="A22" s="28"/>
      <c r="B22" s="28"/>
      <c r="C22" s="33" t="s">
        <v>31</v>
      </c>
      <c r="D22" s="28">
        <v>2278125000</v>
      </c>
      <c r="E22" s="28">
        <v>113696000</v>
      </c>
      <c r="F22" s="28">
        <v>134665000</v>
      </c>
      <c r="G22" s="28">
        <v>32070000</v>
      </c>
      <c r="H22" s="28">
        <f>99434000+397735000</f>
        <v>497169000</v>
      </c>
      <c r="I22" s="28">
        <f>421302000+11224000</f>
        <v>432526000</v>
      </c>
      <c r="J22" s="28"/>
      <c r="K22" s="28">
        <f>202132000+1224000+15377000+2098000+3313000</f>
        <v>224144000</v>
      </c>
      <c r="L22" s="28">
        <v>441000</v>
      </c>
      <c r="M22" s="28">
        <f>SUM(D22:L22)</f>
        <v>3712836000</v>
      </c>
    </row>
    <row r="23" spans="1:13" s="31" customFormat="1" ht="16.5" customHeight="1">
      <c r="A23" s="28"/>
      <c r="B23" s="28"/>
      <c r="C23" s="34" t="s">
        <v>32</v>
      </c>
      <c r="D23" s="28">
        <v>26973000</v>
      </c>
      <c r="E23" s="28">
        <v>4213000</v>
      </c>
      <c r="F23" s="28">
        <v>1233000</v>
      </c>
      <c r="G23" s="28"/>
      <c r="H23" s="28">
        <f>1124000+4495000</f>
        <v>5619000</v>
      </c>
      <c r="I23" s="28">
        <f>3855000+103000</f>
        <v>3958000</v>
      </c>
      <c r="J23" s="28"/>
      <c r="K23" s="28">
        <f>1405000+11000+123000+19000+31000</f>
        <v>1589000</v>
      </c>
      <c r="L23" s="28">
        <v>4000</v>
      </c>
      <c r="M23" s="28">
        <f>SUM(D23:L23)</f>
        <v>43589000</v>
      </c>
    </row>
    <row r="24" spans="1:13" s="31" customFormat="1" ht="16.5" customHeight="1">
      <c r="A24" s="28"/>
      <c r="B24" s="28"/>
      <c r="C24" s="37" t="s">
        <v>35</v>
      </c>
      <c r="D24" s="28">
        <v>623877000</v>
      </c>
      <c r="E24" s="28">
        <v>25488000</v>
      </c>
      <c r="F24" s="28">
        <v>68724000</v>
      </c>
      <c r="G24" s="28"/>
      <c r="H24" s="28">
        <f>96498000+400000</f>
        <v>96898000</v>
      </c>
      <c r="I24" s="28">
        <f>162059000+6000000</f>
        <v>168059000</v>
      </c>
      <c r="J24" s="28"/>
      <c r="K24" s="28">
        <f>55039000+1345000+14165000+535000+9320000</f>
        <v>80404000</v>
      </c>
      <c r="L24" s="28">
        <v>106000</v>
      </c>
      <c r="M24" s="28">
        <f>SUM(D24:L24)</f>
        <v>1063556000</v>
      </c>
    </row>
    <row r="25" spans="1:13" s="31" customFormat="1" ht="16.5" customHeight="1">
      <c r="A25" s="28"/>
      <c r="B25" s="28"/>
      <c r="C25" s="37" t="s">
        <v>36</v>
      </c>
      <c r="D25" s="28">
        <v>4581894000</v>
      </c>
      <c r="E25" s="28">
        <v>102127000</v>
      </c>
      <c r="F25" s="28">
        <v>310471000</v>
      </c>
      <c r="G25" s="28">
        <v>9806000</v>
      </c>
      <c r="H25" s="28">
        <f>695636000+8760000</f>
        <v>704396000</v>
      </c>
      <c r="I25" s="28">
        <f>1276592000+73970000</f>
        <v>1350562000</v>
      </c>
      <c r="J25" s="28">
        <v>10370000</v>
      </c>
      <c r="K25" s="28">
        <f>320117000+2176000+35914000+3494000+66820000</f>
        <v>428521000</v>
      </c>
      <c r="L25" s="28">
        <v>672000</v>
      </c>
      <c r="M25" s="28">
        <f>SUM(D25:L25)</f>
        <v>7498819000</v>
      </c>
    </row>
    <row r="26" spans="1:13" s="31" customFormat="1" ht="16.5" customHeight="1">
      <c r="A26" s="28"/>
      <c r="B26" s="28"/>
      <c r="C26" s="35" t="s">
        <v>20</v>
      </c>
      <c r="D26" s="30">
        <f aca="true" t="shared" si="8" ref="D26:M26">+D27+D30+D33+D34+D37+D40+D43+D44</f>
        <v>22421401000</v>
      </c>
      <c r="E26" s="30">
        <f t="shared" si="8"/>
        <v>1668060000</v>
      </c>
      <c r="F26" s="30">
        <f t="shared" si="8"/>
        <v>3388499000</v>
      </c>
      <c r="G26" s="30">
        <f t="shared" si="8"/>
        <v>734379000</v>
      </c>
      <c r="H26" s="30">
        <f t="shared" si="8"/>
        <v>6357950000</v>
      </c>
      <c r="I26" s="30">
        <f t="shared" si="8"/>
        <v>4543915000</v>
      </c>
      <c r="J26" s="30">
        <f t="shared" si="8"/>
        <v>700000</v>
      </c>
      <c r="K26" s="30">
        <f t="shared" si="8"/>
        <v>2794354000</v>
      </c>
      <c r="L26" s="30">
        <f t="shared" si="8"/>
        <v>1731000</v>
      </c>
      <c r="M26" s="30">
        <f t="shared" si="8"/>
        <v>41910989000</v>
      </c>
    </row>
    <row r="27" spans="1:13" s="31" customFormat="1" ht="16.5" customHeight="1">
      <c r="A27" s="28"/>
      <c r="B27" s="28"/>
      <c r="C27" s="32" t="s">
        <v>33</v>
      </c>
      <c r="D27" s="28">
        <f aca="true" t="shared" si="9" ref="D27:L27">D28+D29</f>
        <v>216680000</v>
      </c>
      <c r="E27" s="28">
        <f t="shared" si="9"/>
        <v>9186000</v>
      </c>
      <c r="F27" s="28">
        <f t="shared" si="9"/>
        <v>21107000</v>
      </c>
      <c r="G27" s="28">
        <f t="shared" si="9"/>
        <v>6717000</v>
      </c>
      <c r="H27" s="28">
        <f t="shared" si="9"/>
        <v>35848000</v>
      </c>
      <c r="I27" s="28">
        <f t="shared" si="9"/>
        <v>32572000</v>
      </c>
      <c r="J27" s="28">
        <f t="shared" si="9"/>
        <v>0</v>
      </c>
      <c r="K27" s="28">
        <f t="shared" si="9"/>
        <v>29329000</v>
      </c>
      <c r="L27" s="28">
        <f t="shared" si="9"/>
        <v>5000</v>
      </c>
      <c r="M27" s="28">
        <f aca="true" t="shared" si="10" ref="M27:M32">SUM(D27:L27)</f>
        <v>351444000</v>
      </c>
    </row>
    <row r="28" spans="1:13" s="31" customFormat="1" ht="16.5" customHeight="1">
      <c r="A28" s="28"/>
      <c r="B28" s="28"/>
      <c r="C28" s="33" t="s">
        <v>31</v>
      </c>
      <c r="D28" s="38">
        <v>207833000</v>
      </c>
      <c r="E28" s="38">
        <v>8544000</v>
      </c>
      <c r="F28" s="38">
        <v>20331000</v>
      </c>
      <c r="G28" s="38">
        <v>636000</v>
      </c>
      <c r="H28" s="38">
        <f>34343000+30000</f>
        <v>34373000</v>
      </c>
      <c r="I28" s="38">
        <f>30909000+1000000</f>
        <v>31909000</v>
      </c>
      <c r="J28" s="38"/>
      <c r="K28" s="38">
        <f>10394000+340000+8302000+120000+3998000</f>
        <v>23154000</v>
      </c>
      <c r="L28" s="38">
        <v>5000</v>
      </c>
      <c r="M28" s="28">
        <f t="shared" si="10"/>
        <v>326785000</v>
      </c>
    </row>
    <row r="29" spans="1:13" s="31" customFormat="1" ht="16.5" customHeight="1">
      <c r="A29" s="28"/>
      <c r="B29" s="28"/>
      <c r="C29" s="34" t="s">
        <v>32</v>
      </c>
      <c r="D29" s="38">
        <v>8847000</v>
      </c>
      <c r="E29" s="38">
        <v>642000</v>
      </c>
      <c r="F29" s="38">
        <v>776000</v>
      </c>
      <c r="G29" s="38">
        <v>6081000</v>
      </c>
      <c r="H29" s="38">
        <v>1475000</v>
      </c>
      <c r="I29" s="38">
        <v>663000</v>
      </c>
      <c r="J29" s="38"/>
      <c r="K29" s="38">
        <f>1778000+14000+7000+4376000</f>
        <v>6175000</v>
      </c>
      <c r="L29" s="38"/>
      <c r="M29" s="28">
        <f t="shared" si="10"/>
        <v>24659000</v>
      </c>
    </row>
    <row r="30" spans="1:13" s="31" customFormat="1" ht="30.75" customHeight="1">
      <c r="A30" s="38"/>
      <c r="B30" s="38"/>
      <c r="C30" s="48" t="s">
        <v>62</v>
      </c>
      <c r="D30" s="38">
        <f aca="true" t="shared" si="11" ref="D30:L30">D31+D32</f>
        <v>1342498000</v>
      </c>
      <c r="E30" s="38">
        <f t="shared" si="11"/>
        <v>86297000</v>
      </c>
      <c r="F30" s="38">
        <f t="shared" si="11"/>
        <v>113066000</v>
      </c>
      <c r="G30" s="38">
        <f t="shared" si="11"/>
        <v>16905000</v>
      </c>
      <c r="H30" s="38">
        <f t="shared" si="11"/>
        <v>536140000</v>
      </c>
      <c r="I30" s="38">
        <f t="shared" si="11"/>
        <v>204909000</v>
      </c>
      <c r="J30" s="38">
        <f t="shared" si="11"/>
        <v>200000</v>
      </c>
      <c r="K30" s="38">
        <f t="shared" si="11"/>
        <v>178661000</v>
      </c>
      <c r="L30" s="38">
        <f t="shared" si="11"/>
        <v>63000</v>
      </c>
      <c r="M30" s="28">
        <f t="shared" si="10"/>
        <v>2478739000</v>
      </c>
    </row>
    <row r="31" spans="1:13" s="31" customFormat="1" ht="16.5" customHeight="1">
      <c r="A31" s="38"/>
      <c r="B31" s="38"/>
      <c r="C31" s="33" t="s">
        <v>31</v>
      </c>
      <c r="D31" s="38">
        <v>1339043000</v>
      </c>
      <c r="E31" s="38">
        <v>85404000</v>
      </c>
      <c r="F31" s="38">
        <v>112826000</v>
      </c>
      <c r="G31" s="38">
        <v>12932000</v>
      </c>
      <c r="H31" s="38">
        <f>302433000+232641000+50000</f>
        <v>535124000</v>
      </c>
      <c r="I31" s="38">
        <f>201635000+3113000</f>
        <v>204748000</v>
      </c>
      <c r="J31" s="38">
        <v>200000</v>
      </c>
      <c r="K31" s="38">
        <f>91103000+3283000+49088000+952000+33402000</f>
        <v>177828000</v>
      </c>
      <c r="L31" s="38">
        <v>63000</v>
      </c>
      <c r="M31" s="28">
        <f t="shared" si="10"/>
        <v>2468168000</v>
      </c>
    </row>
    <row r="32" spans="1:13" s="39" customFormat="1" ht="16.5" customHeight="1">
      <c r="A32" s="38"/>
      <c r="B32" s="38"/>
      <c r="C32" s="33" t="s">
        <v>32</v>
      </c>
      <c r="D32" s="38">
        <v>3455000</v>
      </c>
      <c r="E32" s="38">
        <v>893000</v>
      </c>
      <c r="F32" s="38">
        <v>240000</v>
      </c>
      <c r="G32" s="38">
        <v>3973000</v>
      </c>
      <c r="H32" s="38">
        <f>535000+481000</f>
        <v>1016000</v>
      </c>
      <c r="I32" s="38">
        <v>161000</v>
      </c>
      <c r="J32" s="38"/>
      <c r="K32" s="38">
        <f>244000+6000+3000+580000</f>
        <v>833000</v>
      </c>
      <c r="L32" s="38"/>
      <c r="M32" s="38">
        <f t="shared" si="10"/>
        <v>10571000</v>
      </c>
    </row>
    <row r="33" spans="1:13" s="31" customFormat="1" ht="16.5" customHeight="1">
      <c r="A33" s="28"/>
      <c r="B33" s="28"/>
      <c r="C33" s="32" t="s">
        <v>21</v>
      </c>
      <c r="D33" s="28">
        <v>250715000</v>
      </c>
      <c r="E33" s="28"/>
      <c r="F33" s="28">
        <v>16105000</v>
      </c>
      <c r="G33" s="28">
        <v>204000</v>
      </c>
      <c r="H33" s="28">
        <f>53904000+41465000</f>
        <v>95369000</v>
      </c>
      <c r="I33" s="28">
        <f>33526000</f>
        <v>33526000</v>
      </c>
      <c r="J33" s="28"/>
      <c r="K33" s="28">
        <f>14101000+571000+5313000+182000+5206000</f>
        <v>25373000</v>
      </c>
      <c r="L33" s="28">
        <v>2000</v>
      </c>
      <c r="M33" s="28">
        <f>SUM(D33:L33)</f>
        <v>421294000</v>
      </c>
    </row>
    <row r="34" spans="1:13" s="39" customFormat="1" ht="30.75" customHeight="1">
      <c r="A34" s="38"/>
      <c r="B34" s="38"/>
      <c r="C34" s="49" t="s">
        <v>61</v>
      </c>
      <c r="D34" s="38">
        <f>D35+D36</f>
        <v>5689464000</v>
      </c>
      <c r="E34" s="38">
        <f aca="true" t="shared" si="12" ref="E34:M34">E35+E36</f>
        <v>155012000</v>
      </c>
      <c r="F34" s="38">
        <f t="shared" si="12"/>
        <v>970956000</v>
      </c>
      <c r="G34" s="38">
        <f t="shared" si="12"/>
        <v>251545000</v>
      </c>
      <c r="H34" s="38">
        <f t="shared" si="12"/>
        <v>1120678000</v>
      </c>
      <c r="I34" s="38">
        <f t="shared" si="12"/>
        <v>905867000</v>
      </c>
      <c r="J34" s="38"/>
      <c r="K34" s="38">
        <f t="shared" si="12"/>
        <v>615785000</v>
      </c>
      <c r="L34" s="38">
        <f t="shared" si="12"/>
        <v>183000</v>
      </c>
      <c r="M34" s="38">
        <f t="shared" si="12"/>
        <v>9709490000</v>
      </c>
    </row>
    <row r="35" spans="1:13" s="39" customFormat="1" ht="16.5" customHeight="1">
      <c r="A35" s="38"/>
      <c r="B35" s="38"/>
      <c r="C35" s="33" t="s">
        <v>44</v>
      </c>
      <c r="D35" s="38">
        <f>5689464000-224791000</f>
        <v>5464673000</v>
      </c>
      <c r="E35" s="38">
        <v>155012000</v>
      </c>
      <c r="F35" s="38">
        <f>970956000-36988000</f>
        <v>933968000</v>
      </c>
      <c r="G35" s="38">
        <f>251545000-141141000</f>
        <v>110404000</v>
      </c>
      <c r="H35" s="38">
        <f>155626000-41246000+964393000+659000</f>
        <v>1079432000</v>
      </c>
      <c r="I35" s="38">
        <f>875167000-19580000+30700000</f>
        <v>886287000</v>
      </c>
      <c r="J35" s="38"/>
      <c r="K35" s="38">
        <f>374243000-9898000+15815000+178935000+15461000+31331000</f>
        <v>605887000</v>
      </c>
      <c r="L35" s="38">
        <v>183000</v>
      </c>
      <c r="M35" s="38">
        <f aca="true" t="shared" si="13" ref="M35:M44">SUM(D35:L35)</f>
        <v>9235846000</v>
      </c>
    </row>
    <row r="36" spans="1:13" s="31" customFormat="1" ht="16.5" customHeight="1">
      <c r="A36" s="28"/>
      <c r="B36" s="28"/>
      <c r="C36" s="34" t="s">
        <v>32</v>
      </c>
      <c r="D36" s="28">
        <f>214020000+10771000</f>
        <v>224791000</v>
      </c>
      <c r="E36" s="28"/>
      <c r="F36" s="28">
        <f>35148000+1840000</f>
        <v>36988000</v>
      </c>
      <c r="G36" s="28">
        <v>141141000</v>
      </c>
      <c r="H36" s="28">
        <f>3421000+35670000+360000+1795000</f>
        <v>41246000</v>
      </c>
      <c r="I36" s="28">
        <f>18642000+938000</f>
        <v>19580000</v>
      </c>
      <c r="J36" s="28"/>
      <c r="K36" s="28">
        <f>4429000+590000+345000+35000+3717000+391000+10000+381000</f>
        <v>9898000</v>
      </c>
      <c r="L36" s="28"/>
      <c r="M36" s="28">
        <f t="shared" si="13"/>
        <v>473644000</v>
      </c>
    </row>
    <row r="37" spans="1:13" s="31" customFormat="1" ht="30.75" customHeight="1">
      <c r="A37" s="28"/>
      <c r="B37" s="28"/>
      <c r="C37" s="49" t="s">
        <v>63</v>
      </c>
      <c r="D37" s="28">
        <f aca="true" t="shared" si="14" ref="D37:L37">D38+D39</f>
        <v>4391078000</v>
      </c>
      <c r="E37" s="28">
        <f t="shared" si="14"/>
        <v>138679000</v>
      </c>
      <c r="F37" s="28">
        <f t="shared" si="14"/>
        <v>868359000</v>
      </c>
      <c r="G37" s="28">
        <f t="shared" si="14"/>
        <v>260814000</v>
      </c>
      <c r="H37" s="28">
        <f t="shared" si="14"/>
        <v>752458000</v>
      </c>
      <c r="I37" s="28">
        <f t="shared" si="14"/>
        <v>609842000</v>
      </c>
      <c r="J37" s="28"/>
      <c r="K37" s="28">
        <f t="shared" si="14"/>
        <v>535685000</v>
      </c>
      <c r="L37" s="28">
        <f t="shared" si="14"/>
        <v>95000</v>
      </c>
      <c r="M37" s="28">
        <f t="shared" si="13"/>
        <v>7557010000</v>
      </c>
    </row>
    <row r="38" spans="1:13" s="31" customFormat="1" ht="16.5" customHeight="1">
      <c r="A38" s="28"/>
      <c r="B38" s="28"/>
      <c r="C38" s="33" t="s">
        <v>44</v>
      </c>
      <c r="D38" s="28">
        <f>4391078000-93557000</f>
        <v>4297521000</v>
      </c>
      <c r="E38" s="28">
        <v>138679000</v>
      </c>
      <c r="F38" s="28">
        <f>868359000-20720000</f>
        <v>847639000</v>
      </c>
      <c r="G38" s="28">
        <f>260814000-151044000</f>
        <v>109770000</v>
      </c>
      <c r="H38" s="28">
        <f>751162000+1296000-15593000</f>
        <v>736865000</v>
      </c>
      <c r="I38" s="28">
        <f>591362000+18480000-13369000</f>
        <v>596473000</v>
      </c>
      <c r="J38" s="28"/>
      <c r="K38" s="28">
        <f>364600000-32427000+9650000+120485000+23850000+17100000</f>
        <v>503258000</v>
      </c>
      <c r="L38" s="28">
        <v>95000</v>
      </c>
      <c r="M38" s="28">
        <f t="shared" si="13"/>
        <v>7230300000</v>
      </c>
    </row>
    <row r="39" spans="1:13" s="39" customFormat="1" ht="16.5" customHeight="1">
      <c r="A39" s="38"/>
      <c r="B39" s="38"/>
      <c r="C39" s="34" t="s">
        <v>32</v>
      </c>
      <c r="D39" s="38">
        <v>93557000</v>
      </c>
      <c r="E39" s="38"/>
      <c r="F39" s="38">
        <v>20720000</v>
      </c>
      <c r="G39" s="38">
        <v>151044000</v>
      </c>
      <c r="H39" s="38">
        <v>15593000</v>
      </c>
      <c r="I39" s="38">
        <v>13369000</v>
      </c>
      <c r="J39" s="38"/>
      <c r="K39" s="38">
        <f>10800000+20342000+97000+1155000+33000</f>
        <v>32427000</v>
      </c>
      <c r="L39" s="38"/>
      <c r="M39" s="38">
        <f t="shared" si="13"/>
        <v>326710000</v>
      </c>
    </row>
    <row r="40" spans="1:13" s="31" customFormat="1" ht="16.5" customHeight="1">
      <c r="A40" s="38"/>
      <c r="B40" s="38"/>
      <c r="C40" s="36" t="s">
        <v>42</v>
      </c>
      <c r="D40" s="38">
        <f aca="true" t="shared" si="15" ref="D40:L40">D41+D42</f>
        <v>5335080000</v>
      </c>
      <c r="E40" s="38">
        <f t="shared" si="15"/>
        <v>465812000</v>
      </c>
      <c r="F40" s="38">
        <f t="shared" si="15"/>
        <v>1037206000</v>
      </c>
      <c r="G40" s="38">
        <f t="shared" si="15"/>
        <v>192412000</v>
      </c>
      <c r="H40" s="38">
        <f t="shared" si="15"/>
        <v>1534165000</v>
      </c>
      <c r="I40" s="38">
        <f t="shared" si="15"/>
        <v>826484000</v>
      </c>
      <c r="J40" s="38"/>
      <c r="K40" s="38">
        <f t="shared" si="15"/>
        <v>545176000</v>
      </c>
      <c r="L40" s="38">
        <f t="shared" si="15"/>
        <v>203000</v>
      </c>
      <c r="M40" s="38">
        <f t="shared" si="13"/>
        <v>9936538000</v>
      </c>
    </row>
    <row r="41" spans="1:13" s="31" customFormat="1" ht="16.5" customHeight="1">
      <c r="A41" s="28"/>
      <c r="B41" s="28"/>
      <c r="C41" s="33" t="s">
        <v>44</v>
      </c>
      <c r="D41" s="28">
        <f>5335080000-97781000</f>
        <v>5237299000</v>
      </c>
      <c r="E41" s="28">
        <f>465812000-700000</f>
        <v>465112000</v>
      </c>
      <c r="F41" s="28">
        <f>1037206000-16842000</f>
        <v>1020364000</v>
      </c>
      <c r="G41" s="28">
        <f>192412000-86882000</f>
        <v>105530000</v>
      </c>
      <c r="H41" s="28">
        <f>574498000-24641000+956427000+3240000</f>
        <v>1509524000</v>
      </c>
      <c r="I41" s="28">
        <f>809164000-12113000+17320000</f>
        <v>814371000</v>
      </c>
      <c r="J41" s="28"/>
      <c r="K41" s="28">
        <f>372810000-4143000+12112000+101941000+49313000+9000000</f>
        <v>541033000</v>
      </c>
      <c r="L41" s="28">
        <v>203000</v>
      </c>
      <c r="M41" s="28">
        <f t="shared" si="13"/>
        <v>9693436000</v>
      </c>
    </row>
    <row r="42" spans="1:13" s="39" customFormat="1" ht="16.5" customHeight="1" thickBot="1">
      <c r="A42" s="44"/>
      <c r="B42" s="44"/>
      <c r="C42" s="51" t="s">
        <v>32</v>
      </c>
      <c r="D42" s="44">
        <v>97781000</v>
      </c>
      <c r="E42" s="44">
        <v>700000</v>
      </c>
      <c r="F42" s="44">
        <v>16842000</v>
      </c>
      <c r="G42" s="44">
        <v>86882000</v>
      </c>
      <c r="H42" s="44">
        <f>9603000+15038000</f>
        <v>24641000</v>
      </c>
      <c r="I42" s="44">
        <v>12113000</v>
      </c>
      <c r="J42" s="44"/>
      <c r="K42" s="44">
        <f>659000+2630000+72000+749000+33000</f>
        <v>4143000</v>
      </c>
      <c r="L42" s="44"/>
      <c r="M42" s="44">
        <f t="shared" si="13"/>
        <v>243102000</v>
      </c>
    </row>
    <row r="43" spans="1:13" s="31" customFormat="1" ht="16.5" customHeight="1">
      <c r="A43" s="28"/>
      <c r="B43" s="28"/>
      <c r="C43" s="36" t="s">
        <v>37</v>
      </c>
      <c r="D43" s="28">
        <v>148875000</v>
      </c>
      <c r="E43" s="28">
        <v>373000</v>
      </c>
      <c r="F43" s="28">
        <v>13385000</v>
      </c>
      <c r="G43" s="28"/>
      <c r="H43" s="28">
        <f>22454000+24875000+15000</f>
        <v>47344000</v>
      </c>
      <c r="I43" s="28">
        <f>42233000+500000</f>
        <v>42733000</v>
      </c>
      <c r="J43" s="28">
        <v>500000</v>
      </c>
      <c r="K43" s="28">
        <f>11006000+82000+1527000+141000+386000</f>
        <v>13142000</v>
      </c>
      <c r="L43" s="28">
        <v>26000</v>
      </c>
      <c r="M43" s="28">
        <f t="shared" si="13"/>
        <v>266378000</v>
      </c>
    </row>
    <row r="44" spans="1:13" s="31" customFormat="1" ht="16.5" customHeight="1">
      <c r="A44" s="28"/>
      <c r="B44" s="28"/>
      <c r="C44" s="36" t="s">
        <v>57</v>
      </c>
      <c r="D44" s="28">
        <v>5047011000</v>
      </c>
      <c r="E44" s="28">
        <v>812701000</v>
      </c>
      <c r="F44" s="28">
        <v>348315000</v>
      </c>
      <c r="G44" s="28">
        <v>5782000</v>
      </c>
      <c r="H44" s="28">
        <f>1261501000+970387000+4060000</f>
        <v>2235948000</v>
      </c>
      <c r="I44" s="28">
        <v>1887982000</v>
      </c>
      <c r="J44" s="28"/>
      <c r="K44" s="28">
        <f>458391000+6103000+152289000+13978000+220442000</f>
        <v>851203000</v>
      </c>
      <c r="L44" s="28">
        <v>1154000</v>
      </c>
      <c r="M44" s="28">
        <f t="shared" si="13"/>
        <v>11190096000</v>
      </c>
    </row>
    <row r="45" spans="1:13" s="39" customFormat="1" ht="16.5" customHeight="1">
      <c r="A45" s="50">
        <f>A46+A47+SUM(A48:A52)</f>
        <v>2469354000</v>
      </c>
      <c r="B45" s="50"/>
      <c r="C45" s="35" t="s">
        <v>22</v>
      </c>
      <c r="D45" s="50">
        <f aca="true" t="shared" si="16" ref="D45:M45">D46+D47+SUM(D48:D52)</f>
        <v>52214452000</v>
      </c>
      <c r="E45" s="50">
        <f t="shared" si="16"/>
        <v>2491192000</v>
      </c>
      <c r="F45" s="50">
        <f t="shared" si="16"/>
        <v>5518454000</v>
      </c>
      <c r="G45" s="50">
        <f t="shared" si="16"/>
        <v>1014167000</v>
      </c>
      <c r="H45" s="50">
        <f t="shared" si="16"/>
        <v>17926880000</v>
      </c>
      <c r="I45" s="50">
        <f t="shared" si="16"/>
        <v>15695200000</v>
      </c>
      <c r="J45" s="50">
        <f t="shared" si="16"/>
        <v>30628000</v>
      </c>
      <c r="K45" s="50">
        <f t="shared" si="16"/>
        <v>5512831000</v>
      </c>
      <c r="L45" s="50">
        <f t="shared" si="16"/>
        <v>4085000</v>
      </c>
      <c r="M45" s="50">
        <f t="shared" si="16"/>
        <v>100407889000</v>
      </c>
    </row>
    <row r="46" spans="1:13" s="31" customFormat="1" ht="16.5" customHeight="1">
      <c r="A46" s="28"/>
      <c r="B46" s="28"/>
      <c r="C46" s="32" t="s">
        <v>60</v>
      </c>
      <c r="D46" s="28">
        <v>18976422000</v>
      </c>
      <c r="E46" s="28">
        <v>1700773000</v>
      </c>
      <c r="F46" s="28">
        <v>1225137000</v>
      </c>
      <c r="G46" s="28">
        <v>634234000</v>
      </c>
      <c r="H46" s="28">
        <f>1831941000+3251131000+193337000</f>
        <v>5276409000</v>
      </c>
      <c r="I46" s="28">
        <f>6201579000+229004000</f>
        <v>6430583000</v>
      </c>
      <c r="J46" s="28">
        <v>14417000</v>
      </c>
      <c r="K46" s="28">
        <f>1184607000+50064000+295586000+16011000+669628000</f>
        <v>2215896000</v>
      </c>
      <c r="L46" s="28">
        <v>1575000</v>
      </c>
      <c r="M46" s="28">
        <f aca="true" t="shared" si="17" ref="M46:M52">SUM(D46:L46)</f>
        <v>36475446000</v>
      </c>
    </row>
    <row r="47" spans="1:13" s="31" customFormat="1" ht="16.5" customHeight="1">
      <c r="A47" s="28">
        <v>2469354000</v>
      </c>
      <c r="B47" s="28"/>
      <c r="C47" s="32" t="s">
        <v>23</v>
      </c>
      <c r="D47" s="28">
        <v>22218286000</v>
      </c>
      <c r="E47" s="28">
        <v>290814000</v>
      </c>
      <c r="F47" s="28">
        <v>2132958000</v>
      </c>
      <c r="G47" s="28">
        <v>347603000</v>
      </c>
      <c r="H47" s="28">
        <f>4864665000+3742052000+308215000</f>
        <v>8914932000</v>
      </c>
      <c r="I47" s="28">
        <f>1090028000+188627000</f>
        <v>1278655000</v>
      </c>
      <c r="J47" s="28">
        <v>16211000</v>
      </c>
      <c r="K47" s="28">
        <f>1092743000+56478000+277500000+36441000+298573000</f>
        <v>1761735000</v>
      </c>
      <c r="L47" s="28">
        <v>1320000</v>
      </c>
      <c r="M47" s="28">
        <f t="shared" si="17"/>
        <v>36962514000</v>
      </c>
    </row>
    <row r="48" spans="1:13" s="31" customFormat="1" ht="16.5" customHeight="1">
      <c r="A48" s="28"/>
      <c r="B48" s="28"/>
      <c r="C48" s="37" t="s">
        <v>52</v>
      </c>
      <c r="D48" s="28">
        <v>7449016000</v>
      </c>
      <c r="E48" s="28">
        <v>349854000</v>
      </c>
      <c r="F48" s="28">
        <v>1845970000</v>
      </c>
      <c r="G48" s="28">
        <v>27235000</v>
      </c>
      <c r="H48" s="28">
        <f>1741748000+634530000</f>
        <v>2376278000</v>
      </c>
      <c r="I48" s="28">
        <f>5829351000+591822000</f>
        <v>6421173000</v>
      </c>
      <c r="J48" s="28"/>
      <c r="K48" s="28">
        <f>675791000+9746000+43353000+9341000+356192000</f>
        <v>1094423000</v>
      </c>
      <c r="L48" s="28">
        <v>854000</v>
      </c>
      <c r="M48" s="28">
        <f t="shared" si="17"/>
        <v>19564803000</v>
      </c>
    </row>
    <row r="49" spans="1:13" s="31" customFormat="1" ht="16.5" customHeight="1">
      <c r="A49" s="28"/>
      <c r="B49" s="28"/>
      <c r="C49" s="37" t="s">
        <v>53</v>
      </c>
      <c r="D49" s="28">
        <v>1421708000</v>
      </c>
      <c r="E49" s="28">
        <v>20649000</v>
      </c>
      <c r="F49" s="28">
        <v>110070000</v>
      </c>
      <c r="G49" s="28">
        <v>180000</v>
      </c>
      <c r="H49" s="28">
        <f>277601000+236951000+968000</f>
        <v>515520000</v>
      </c>
      <c r="I49" s="28">
        <f>783509000+21162000</f>
        <v>804671000</v>
      </c>
      <c r="J49" s="28"/>
      <c r="K49" s="28">
        <f>92951000+3496000+8411000+1027000+18318000</f>
        <v>124203000</v>
      </c>
      <c r="L49" s="28">
        <v>50000</v>
      </c>
      <c r="M49" s="28">
        <f t="shared" si="17"/>
        <v>2997051000</v>
      </c>
    </row>
    <row r="50" spans="1:13" s="31" customFormat="1" ht="16.5" customHeight="1">
      <c r="A50" s="28"/>
      <c r="B50" s="28"/>
      <c r="C50" s="37" t="s">
        <v>54</v>
      </c>
      <c r="D50" s="28">
        <v>472291000</v>
      </c>
      <c r="E50" s="28">
        <v>19041000</v>
      </c>
      <c r="F50" s="28">
        <v>43591000</v>
      </c>
      <c r="G50" s="28"/>
      <c r="H50" s="28">
        <f>102190000+78607000+216000</f>
        <v>181013000</v>
      </c>
      <c r="I50" s="28">
        <f>43252000+7404000</f>
        <v>50656000</v>
      </c>
      <c r="J50" s="28"/>
      <c r="K50" s="28">
        <f>28544000+1495000+6340000+350000+20198000</f>
        <v>56927000</v>
      </c>
      <c r="L50" s="28">
        <v>60000</v>
      </c>
      <c r="M50" s="28">
        <f t="shared" si="17"/>
        <v>823579000</v>
      </c>
    </row>
    <row r="51" spans="1:13" s="31" customFormat="1" ht="16.5" customHeight="1">
      <c r="A51" s="28"/>
      <c r="B51" s="28"/>
      <c r="C51" s="37" t="s">
        <v>55</v>
      </c>
      <c r="D51" s="28">
        <v>1484932000</v>
      </c>
      <c r="E51" s="28">
        <v>109795000</v>
      </c>
      <c r="F51" s="28">
        <v>145487000</v>
      </c>
      <c r="G51" s="28">
        <v>3229000</v>
      </c>
      <c r="H51" s="28">
        <f>345186000+265530000+2670000</f>
        <v>613386000</v>
      </c>
      <c r="I51" s="28">
        <f>567329000+56113000</f>
        <v>623442000</v>
      </c>
      <c r="J51" s="28"/>
      <c r="K51" s="28">
        <f>131068000+1709000+13322000+1142000+87530000</f>
        <v>234771000</v>
      </c>
      <c r="L51" s="28">
        <v>210000</v>
      </c>
      <c r="M51" s="28">
        <f t="shared" si="17"/>
        <v>3215252000</v>
      </c>
    </row>
    <row r="52" spans="1:13" s="31" customFormat="1" ht="16.5" customHeight="1">
      <c r="A52" s="28"/>
      <c r="B52" s="28"/>
      <c r="C52" s="37" t="s">
        <v>56</v>
      </c>
      <c r="D52" s="28">
        <v>191797000</v>
      </c>
      <c r="E52" s="28">
        <v>266000</v>
      </c>
      <c r="F52" s="28">
        <v>15241000</v>
      </c>
      <c r="G52" s="28">
        <v>1686000</v>
      </c>
      <c r="H52" s="28">
        <f>19742000+29507000+93000</f>
        <v>49342000</v>
      </c>
      <c r="I52" s="28">
        <f>81699000+4321000</f>
        <v>86020000</v>
      </c>
      <c r="J52" s="28"/>
      <c r="K52" s="28">
        <f>13922000+79000+1060000+136000+9679000</f>
        <v>24876000</v>
      </c>
      <c r="L52" s="28">
        <v>16000</v>
      </c>
      <c r="M52" s="28">
        <f t="shared" si="17"/>
        <v>369244000</v>
      </c>
    </row>
    <row r="53" spans="1:13" s="31" customFormat="1" ht="18" customHeight="1">
      <c r="A53" s="30"/>
      <c r="B53" s="30"/>
      <c r="C53" s="35" t="s">
        <v>48</v>
      </c>
      <c r="D53" s="30">
        <f aca="true" t="shared" si="18" ref="D53:M53">D54</f>
        <v>1400048000</v>
      </c>
      <c r="E53" s="30">
        <f t="shared" si="18"/>
        <v>437568000</v>
      </c>
      <c r="F53" s="30">
        <f t="shared" si="18"/>
        <v>167559000</v>
      </c>
      <c r="G53" s="30">
        <f t="shared" si="18"/>
        <v>324241000</v>
      </c>
      <c r="H53" s="30">
        <f t="shared" si="18"/>
        <v>358778000</v>
      </c>
      <c r="I53" s="30">
        <f t="shared" si="18"/>
        <v>273059000</v>
      </c>
      <c r="J53" s="30"/>
      <c r="K53" s="30">
        <f t="shared" si="18"/>
        <v>246176000</v>
      </c>
      <c r="L53" s="30">
        <f t="shared" si="18"/>
        <v>441000</v>
      </c>
      <c r="M53" s="30">
        <f t="shared" si="18"/>
        <v>3207870000</v>
      </c>
    </row>
    <row r="54" spans="1:13" s="31" customFormat="1" ht="16.5" customHeight="1">
      <c r="A54" s="28"/>
      <c r="B54" s="28"/>
      <c r="C54" s="32" t="s">
        <v>38</v>
      </c>
      <c r="D54" s="28">
        <f aca="true" t="shared" si="19" ref="D54:M54">D55+D56</f>
        <v>1400048000</v>
      </c>
      <c r="E54" s="28">
        <f t="shared" si="19"/>
        <v>437568000</v>
      </c>
      <c r="F54" s="28">
        <f t="shared" si="19"/>
        <v>167559000</v>
      </c>
      <c r="G54" s="28">
        <f t="shared" si="19"/>
        <v>324241000</v>
      </c>
      <c r="H54" s="28">
        <f t="shared" si="19"/>
        <v>358778000</v>
      </c>
      <c r="I54" s="28">
        <f t="shared" si="19"/>
        <v>273059000</v>
      </c>
      <c r="J54" s="28"/>
      <c r="K54" s="28">
        <f t="shared" si="19"/>
        <v>246176000</v>
      </c>
      <c r="L54" s="28">
        <f t="shared" si="19"/>
        <v>441000</v>
      </c>
      <c r="M54" s="28">
        <f t="shared" si="19"/>
        <v>3207870000</v>
      </c>
    </row>
    <row r="55" spans="1:13" s="31" customFormat="1" ht="16.5" customHeight="1">
      <c r="A55" s="28"/>
      <c r="B55" s="28"/>
      <c r="C55" s="33" t="s">
        <v>31</v>
      </c>
      <c r="D55" s="28">
        <v>1364814000</v>
      </c>
      <c r="E55" s="28">
        <v>437568000</v>
      </c>
      <c r="F55" s="28">
        <v>163091000</v>
      </c>
      <c r="G55" s="28">
        <v>314233000</v>
      </c>
      <c r="H55" s="28">
        <f>345730000+6000000</f>
        <v>351730000</v>
      </c>
      <c r="I55" s="28">
        <f>257603000+8000000</f>
        <v>265603000</v>
      </c>
      <c r="J55" s="28"/>
      <c r="K55" s="28">
        <v>243511000</v>
      </c>
      <c r="L55" s="28">
        <v>441000</v>
      </c>
      <c r="M55" s="28">
        <f>SUM(D55:L55)</f>
        <v>3140991000</v>
      </c>
    </row>
    <row r="56" spans="1:13" s="31" customFormat="1" ht="16.5" customHeight="1">
      <c r="A56" s="28"/>
      <c r="B56" s="28"/>
      <c r="C56" s="34" t="s">
        <v>45</v>
      </c>
      <c r="D56" s="28">
        <v>35234000</v>
      </c>
      <c r="E56" s="28"/>
      <c r="F56" s="28">
        <v>4468000</v>
      </c>
      <c r="G56" s="28">
        <v>10008000</v>
      </c>
      <c r="H56" s="28">
        <v>7048000</v>
      </c>
      <c r="I56" s="28">
        <v>7456000</v>
      </c>
      <c r="J56" s="28"/>
      <c r="K56" s="28">
        <v>2665000</v>
      </c>
      <c r="L56" s="28"/>
      <c r="M56" s="28">
        <f>SUM(D56:L56)</f>
        <v>66879000</v>
      </c>
    </row>
    <row r="57" spans="1:13" s="31" customFormat="1" ht="16.5" customHeight="1">
      <c r="A57" s="28"/>
      <c r="B57" s="28"/>
      <c r="C57" s="35" t="s">
        <v>49</v>
      </c>
      <c r="D57" s="30">
        <f aca="true" t="shared" si="20" ref="D57:M57">D58</f>
        <v>915837000</v>
      </c>
      <c r="E57" s="30">
        <f t="shared" si="20"/>
        <v>109577000</v>
      </c>
      <c r="F57" s="30">
        <f t="shared" si="20"/>
        <v>68248000</v>
      </c>
      <c r="G57" s="30">
        <f t="shared" si="20"/>
        <v>1776000</v>
      </c>
      <c r="H57" s="30">
        <f t="shared" si="20"/>
        <v>364711000</v>
      </c>
      <c r="I57" s="30">
        <f t="shared" si="20"/>
        <v>102517000</v>
      </c>
      <c r="J57" s="30"/>
      <c r="K57" s="30">
        <f t="shared" si="20"/>
        <v>168169000</v>
      </c>
      <c r="L57" s="30">
        <f t="shared" si="20"/>
        <v>38000</v>
      </c>
      <c r="M57" s="30">
        <f t="shared" si="20"/>
        <v>1730873000</v>
      </c>
    </row>
    <row r="58" spans="1:13" s="31" customFormat="1" ht="16.5" customHeight="1">
      <c r="A58" s="38"/>
      <c r="B58" s="38"/>
      <c r="C58" s="32" t="s">
        <v>24</v>
      </c>
      <c r="D58" s="38">
        <v>915837000</v>
      </c>
      <c r="E58" s="38">
        <v>109577000</v>
      </c>
      <c r="F58" s="38">
        <v>68248000</v>
      </c>
      <c r="G58" s="38">
        <v>1776000</v>
      </c>
      <c r="H58" s="38">
        <f>206140000+158571000</f>
        <v>364711000</v>
      </c>
      <c r="I58" s="38">
        <f>99517000+3000000</f>
        <v>102517000</v>
      </c>
      <c r="J58" s="38"/>
      <c r="K58" s="38">
        <f>66185000+3342000+95695000+799000+2148000</f>
        <v>168169000</v>
      </c>
      <c r="L58" s="38">
        <v>38000</v>
      </c>
      <c r="M58" s="38">
        <f>SUM(D58:L58)</f>
        <v>1730873000</v>
      </c>
    </row>
    <row r="59" spans="1:13" s="31" customFormat="1" ht="16.5" customHeight="1">
      <c r="A59" s="28"/>
      <c r="B59" s="28"/>
      <c r="C59" s="35" t="s">
        <v>50</v>
      </c>
      <c r="D59" s="30">
        <f aca="true" t="shared" si="21" ref="D59:M59">D60</f>
        <v>2069225000</v>
      </c>
      <c r="E59" s="30">
        <f t="shared" si="21"/>
        <v>46617000</v>
      </c>
      <c r="F59" s="30">
        <f t="shared" si="21"/>
        <v>101392000</v>
      </c>
      <c r="G59" s="30">
        <f t="shared" si="21"/>
        <v>1633000</v>
      </c>
      <c r="H59" s="30">
        <f t="shared" si="21"/>
        <v>658502000</v>
      </c>
      <c r="I59" s="30">
        <f t="shared" si="21"/>
        <v>278502000</v>
      </c>
      <c r="J59" s="30">
        <f t="shared" si="21"/>
        <v>26837000</v>
      </c>
      <c r="K59" s="30">
        <f t="shared" si="21"/>
        <v>364597000</v>
      </c>
      <c r="L59" s="30">
        <f t="shared" si="21"/>
        <v>128000</v>
      </c>
      <c r="M59" s="30">
        <f t="shared" si="21"/>
        <v>3547433000</v>
      </c>
    </row>
    <row r="60" spans="1:13" s="31" customFormat="1" ht="16.5" customHeight="1">
      <c r="A60" s="28"/>
      <c r="B60" s="28"/>
      <c r="C60" s="32" t="s">
        <v>25</v>
      </c>
      <c r="D60" s="28">
        <v>2069225000</v>
      </c>
      <c r="E60" s="28">
        <v>46617000</v>
      </c>
      <c r="F60" s="28">
        <v>101392000</v>
      </c>
      <c r="G60" s="28">
        <v>1633000</v>
      </c>
      <c r="H60" s="28">
        <f>334775000+323727000</f>
        <v>658502000</v>
      </c>
      <c r="I60" s="28">
        <f>266288000+12214000</f>
        <v>278502000</v>
      </c>
      <c r="J60" s="28">
        <v>26837000</v>
      </c>
      <c r="K60" s="28">
        <f>164656000+2456000+150340000+1788000+45357000</f>
        <v>364597000</v>
      </c>
      <c r="L60" s="28">
        <v>128000</v>
      </c>
      <c r="M60" s="28">
        <f>SUM(D60:L60)</f>
        <v>3547433000</v>
      </c>
    </row>
    <row r="61" spans="1:13" s="31" customFormat="1" ht="16.5" customHeight="1">
      <c r="A61" s="28"/>
      <c r="B61" s="28"/>
      <c r="C61" s="32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s="31" customFormat="1" ht="16.5" customHeight="1">
      <c r="A62" s="28"/>
      <c r="B62" s="28"/>
      <c r="C62" s="32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s="31" customFormat="1" ht="16.5" customHeight="1">
      <c r="A63" s="28"/>
      <c r="B63" s="28"/>
      <c r="C63" s="32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s="31" customFormat="1" ht="16.5" customHeight="1">
      <c r="A64" s="28"/>
      <c r="B64" s="28"/>
      <c r="C64" s="32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s="31" customFormat="1" ht="16.5" customHeight="1">
      <c r="A65" s="28"/>
      <c r="B65" s="28"/>
      <c r="C65" s="32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s="31" customFormat="1" ht="16.5" customHeight="1">
      <c r="A66" s="28"/>
      <c r="B66" s="28"/>
      <c r="C66" s="32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s="31" customFormat="1" ht="16.5" customHeight="1">
      <c r="A67" s="28"/>
      <c r="B67" s="28"/>
      <c r="C67" s="32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s="31" customFormat="1" ht="16.5" customHeight="1">
      <c r="A68" s="28"/>
      <c r="B68" s="28"/>
      <c r="C68" s="32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s="31" customFormat="1" ht="16.5" customHeight="1">
      <c r="A69" s="28"/>
      <c r="B69" s="28"/>
      <c r="C69" s="32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s="31" customFormat="1" ht="16.5" customHeight="1">
      <c r="A70" s="28"/>
      <c r="B70" s="28"/>
      <c r="C70" s="32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s="31" customFormat="1" ht="16.5" customHeight="1">
      <c r="A71" s="28"/>
      <c r="B71" s="28"/>
      <c r="C71" s="32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s="31" customFormat="1" ht="16.5" customHeight="1">
      <c r="A72" s="28"/>
      <c r="B72" s="28"/>
      <c r="C72" s="32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s="31" customFormat="1" ht="16.5" customHeight="1">
      <c r="A73" s="28"/>
      <c r="B73" s="28"/>
      <c r="C73" s="32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s="31" customFormat="1" ht="16.5" customHeight="1">
      <c r="A74" s="28"/>
      <c r="B74" s="28"/>
      <c r="C74" s="32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s="31" customFormat="1" ht="16.5" customHeight="1">
      <c r="A75" s="28"/>
      <c r="B75" s="28"/>
      <c r="C75" s="32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s="31" customFormat="1" ht="16.5" customHeight="1">
      <c r="A76" s="28"/>
      <c r="B76" s="28"/>
      <c r="C76" s="32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s="31" customFormat="1" ht="16.5" customHeight="1">
      <c r="A77" s="28"/>
      <c r="B77" s="28"/>
      <c r="C77" s="32"/>
      <c r="D77" s="28"/>
      <c r="E77" s="28"/>
      <c r="F77" s="28"/>
      <c r="G77" s="28"/>
      <c r="H77" s="28"/>
      <c r="I77" s="28"/>
      <c r="J77" s="28"/>
      <c r="K77" s="28"/>
      <c r="L77" s="28"/>
      <c r="M77" s="28"/>
    </row>
    <row r="78" spans="1:13" s="31" customFormat="1" ht="17.25" customHeight="1">
      <c r="A78" s="28"/>
      <c r="B78" s="28"/>
      <c r="C78" s="32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s="31" customFormat="1" ht="16.5" customHeight="1">
      <c r="A79" s="28"/>
      <c r="B79" s="28"/>
      <c r="C79" s="32"/>
      <c r="D79" s="28"/>
      <c r="E79" s="28"/>
      <c r="F79" s="28"/>
      <c r="G79" s="28"/>
      <c r="H79" s="28"/>
      <c r="I79" s="28"/>
      <c r="J79" s="28"/>
      <c r="K79" s="28"/>
      <c r="L79" s="28"/>
      <c r="M79" s="28"/>
    </row>
    <row r="80" s="40" customFormat="1" ht="12.75" customHeight="1"/>
    <row r="81" spans="1:13" s="43" customFormat="1" ht="21.75" customHeight="1" thickBot="1">
      <c r="A81" s="41">
        <f>A6+A10+A26+A45+A53+A57+A59</f>
        <v>10489210000</v>
      </c>
      <c r="B81" s="41"/>
      <c r="C81" s="42" t="s">
        <v>39</v>
      </c>
      <c r="D81" s="41">
        <f aca="true" t="shared" si="22" ref="D81:M81">D6+D10+D26+D45+D53+D57+D59</f>
        <v>126554445000</v>
      </c>
      <c r="E81" s="41">
        <f t="shared" si="22"/>
        <v>5272801000</v>
      </c>
      <c r="F81" s="41">
        <f t="shared" si="22"/>
        <v>14464756000</v>
      </c>
      <c r="G81" s="41">
        <f t="shared" si="22"/>
        <v>3842990000</v>
      </c>
      <c r="H81" s="41">
        <f t="shared" si="22"/>
        <v>39891990000</v>
      </c>
      <c r="I81" s="41">
        <f t="shared" si="22"/>
        <v>33678940000</v>
      </c>
      <c r="J81" s="41">
        <f t="shared" si="22"/>
        <v>304135000</v>
      </c>
      <c r="K81" s="41">
        <f t="shared" si="22"/>
        <v>14997047000</v>
      </c>
      <c r="L81" s="41">
        <f t="shared" si="22"/>
        <v>15223000</v>
      </c>
      <c r="M81" s="41">
        <f t="shared" si="22"/>
        <v>239022327000</v>
      </c>
    </row>
  </sheetData>
  <mergeCells count="2">
    <mergeCell ref="A5:B5"/>
    <mergeCell ref="C2:F2"/>
  </mergeCells>
  <printOptions horizontalCentered="1"/>
  <pageMargins left="0.4330708661417323" right="0.4330708661417323" top="0.984251968503937" bottom="0.984251968503937" header="0.5118110236220472" footer="0.5118110236220472"/>
  <pageSetup horizontalDpi="300" verticalDpi="3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41</dc:title>
  <dc:subject>41</dc:subject>
  <dc:creator>行政院主計處</dc:creator>
  <cp:keywords/>
  <dc:description> </dc:description>
  <cp:lastModifiedBy>Administrator</cp:lastModifiedBy>
  <cp:lastPrinted>2004-04-25T06:50:02Z</cp:lastPrinted>
  <dcterms:created xsi:type="dcterms:W3CDTF">1997-10-21T02:17:52Z</dcterms:created>
  <dcterms:modified xsi:type="dcterms:W3CDTF">2008-11-13T10:28:08Z</dcterms:modified>
  <cp:category>I14</cp:category>
  <cp:version/>
  <cp:contentType/>
  <cp:contentStatus/>
</cp:coreProperties>
</file>