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385" windowHeight="4545" tabRatio="599" activeTab="0"/>
  </bookViews>
  <sheets>
    <sheet name="91" sheetId="1" r:id="rId1"/>
  </sheets>
  <definedNames>
    <definedName name="_xlnm.Print_Area" localSheetId="0">'91'!$A$1:$BF$85</definedName>
    <definedName name="_xlnm.Print_Titles" localSheetId="0">'91'!$1:$7</definedName>
  </definedNames>
  <calcPr fullCalcOnLoad="1"/>
</workbook>
</file>

<file path=xl/sharedStrings.xml><?xml version="1.0" encoding="utf-8"?>
<sst xmlns="http://schemas.openxmlformats.org/spreadsheetml/2006/main" count="236" uniqueCount="88">
  <si>
    <r>
      <t>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員工人數</t>
    </r>
  </si>
  <si>
    <r>
      <t>員工人數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丁</t>
    </r>
  </si>
  <si>
    <r>
      <t xml:space="preserve">        </t>
    </r>
    <r>
      <rPr>
        <sz val="8"/>
        <rFont val="新細明體"/>
        <family val="1"/>
      </rPr>
      <t>資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本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分</t>
    </r>
  </si>
  <si>
    <r>
      <t xml:space="preserve">     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資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本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）</t>
    </r>
  </si>
  <si>
    <r>
      <t xml:space="preserve">    </t>
    </r>
    <r>
      <rPr>
        <sz val="8"/>
        <rFont val="新細明體"/>
        <family val="1"/>
      </rPr>
      <t>決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數</t>
    </r>
  </si>
  <si>
    <r>
      <t xml:space="preserve">     </t>
    </r>
    <r>
      <rPr>
        <sz val="8"/>
        <rFont val="新細明體"/>
        <family val="1"/>
      </rPr>
      <t>預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</si>
  <si>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 xml:space="preserve">  </t>
    </r>
    <r>
      <rPr>
        <sz val="8"/>
        <rFont val="新細明體"/>
        <family val="1"/>
      </rPr>
      <t>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較</t>
    </r>
  </si>
  <si>
    <r>
      <t xml:space="preserve">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稱</t>
    </r>
  </si>
  <si>
    <r>
      <t xml:space="preserve">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分</t>
    </r>
  </si>
  <si>
    <r>
      <t xml:space="preserve">    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</si>
  <si>
    <r>
      <t xml:space="preserve">      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理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分</t>
    </r>
  </si>
  <si>
    <r>
      <t xml:space="preserve"> </t>
    </r>
    <r>
      <rPr>
        <sz val="8"/>
        <rFont val="新細明體"/>
        <family val="1"/>
      </rPr>
      <t>研究發展、員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練及其他部分</t>
    </r>
  </si>
  <si>
    <r>
      <t xml:space="preserve">            </t>
    </r>
    <r>
      <rPr>
        <sz val="8"/>
        <rFont val="新細明體"/>
        <family val="1"/>
      </rPr>
      <t>員</t>
    </r>
  </si>
  <si>
    <r>
      <t xml:space="preserve">            </t>
    </r>
    <r>
      <rPr>
        <sz val="8"/>
        <rFont val="新細明體"/>
        <family val="1"/>
      </rPr>
      <t>工</t>
    </r>
  </si>
  <si>
    <r>
      <t xml:space="preserve">           </t>
    </r>
    <r>
      <rPr>
        <sz val="8"/>
        <rFont val="新細明體"/>
        <family val="1"/>
      </rPr>
      <t>員</t>
    </r>
  </si>
  <si>
    <r>
      <t xml:space="preserve">             </t>
    </r>
    <r>
      <rPr>
        <sz val="8"/>
        <rFont val="新細明體"/>
        <family val="1"/>
      </rPr>
      <t>員</t>
    </r>
  </si>
  <si>
    <r>
      <t xml:space="preserve">             </t>
    </r>
    <r>
      <rPr>
        <sz val="8"/>
        <rFont val="新細明體"/>
        <family val="1"/>
      </rPr>
      <t>工</t>
    </r>
  </si>
  <si>
    <r>
      <t>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式</t>
    </r>
  </si>
  <si>
    <r>
      <t>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時</t>
    </r>
  </si>
  <si>
    <r>
      <t>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時</t>
    </r>
  </si>
  <si>
    <r>
      <t>正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式</t>
    </r>
  </si>
  <si>
    <r>
      <t>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時</t>
    </r>
  </si>
  <si>
    <r>
      <t>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式</t>
    </r>
  </si>
  <si>
    <t>行  政  院  主  管</t>
  </si>
  <si>
    <t>經 濟 部 主 管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</si>
  <si>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</si>
  <si>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</si>
  <si>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</si>
  <si>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</si>
  <si>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</si>
  <si>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</si>
  <si>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財 政 部 主 管</t>
  </si>
  <si>
    <t>中國輸出入銀行</t>
  </si>
  <si>
    <t>中央信託局</t>
  </si>
  <si>
    <t>中央存款保險股份有限公司</t>
  </si>
  <si>
    <t>交 通 部 主 管</t>
  </si>
  <si>
    <t>交通部郵政總局</t>
  </si>
  <si>
    <t>中華電信股份有限公司</t>
  </si>
  <si>
    <t>行 政 院 勞 工 委 員 會 主 管</t>
  </si>
  <si>
    <t>勞工保險局</t>
  </si>
  <si>
    <t>行 政 院 衛 生 署 主 管</t>
  </si>
  <si>
    <t>中央健康保險局</t>
  </si>
  <si>
    <t xml:space="preserve">  總                      計</t>
  </si>
  <si>
    <r>
      <t xml:space="preserve">  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</t>
    </r>
  </si>
  <si>
    <r>
      <t xml:space="preserve">       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預</t>
    </r>
  </si>
  <si>
    <r>
      <t xml:space="preserve"> 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資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本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支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）</t>
    </r>
  </si>
  <si>
    <r>
      <t xml:space="preserve">   </t>
    </r>
    <r>
      <rPr>
        <sz val="8"/>
        <rFont val="新細明體"/>
        <family val="1"/>
      </rPr>
      <t>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預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較</t>
    </r>
    <r>
      <rPr>
        <sz val="8"/>
        <rFont val="Times New Roman"/>
        <family val="1"/>
      </rPr>
      <t xml:space="preserve">    </t>
    </r>
  </si>
  <si>
    <r>
      <t>中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銀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行</t>
    </r>
  </si>
  <si>
    <r>
      <t>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分</t>
    </r>
  </si>
  <si>
    <r>
      <t>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外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分</t>
    </r>
  </si>
  <si>
    <t>高雄硫酸錏股份有限公司</t>
  </si>
  <si>
    <t>臺灣省農工企業股份有限公司</t>
  </si>
  <si>
    <t>唐榮鐵工廠股份有限公司</t>
  </si>
  <si>
    <t>臺灣省自來水股份有限公司</t>
  </si>
  <si>
    <t>臺灣銀行</t>
  </si>
  <si>
    <t>臺灣土地銀行</t>
  </si>
  <si>
    <t>財政部印刷廠</t>
  </si>
  <si>
    <t>教 育 部 主 管</t>
  </si>
  <si>
    <t>臺儒文化事業股份有限公司(臺灣書店)</t>
  </si>
  <si>
    <t>行政院國軍退除役官兵輔導委員會主管</t>
  </si>
  <si>
    <t>榮民工程股份有限公司</t>
  </si>
  <si>
    <t>總計</t>
  </si>
  <si>
    <r>
      <t xml:space="preserve">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                        </t>
    </r>
    <r>
      <rPr>
        <sz val="8"/>
        <rFont val="新細明體"/>
        <family val="1"/>
      </rPr>
      <t>計</t>
    </r>
  </si>
  <si>
    <r>
      <t xml:space="preserve">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                           </t>
    </r>
    <r>
      <rPr>
        <sz val="8"/>
        <rFont val="新細明體"/>
        <family val="1"/>
      </rPr>
      <t>計</t>
    </r>
  </si>
  <si>
    <t>合作金庫銀行股份有限公司</t>
  </si>
  <si>
    <t>經  濟  部  主  管</t>
  </si>
  <si>
    <t>財  政  部  主  管</t>
  </si>
  <si>
    <t>教  育  部  主  管</t>
  </si>
  <si>
    <r>
      <t>交</t>
    </r>
    <r>
      <rPr>
        <b/>
        <sz val="8"/>
        <rFont val="Times New Roman"/>
        <family val="1"/>
      </rPr>
      <t xml:space="preserve"> </t>
    </r>
    <r>
      <rPr>
        <b/>
        <sz val="8"/>
        <rFont val="華康中黑體"/>
        <family val="3"/>
      </rPr>
      <t xml:space="preserve"> 通  部  主  管</t>
    </r>
  </si>
  <si>
    <r>
      <t>退</t>
    </r>
    <r>
      <rPr>
        <b/>
        <sz val="8"/>
        <rFont val="Times New Roman"/>
        <family val="1"/>
      </rPr>
      <t xml:space="preserve">    </t>
    </r>
    <r>
      <rPr>
        <b/>
        <sz val="8"/>
        <rFont val="華康中黑體"/>
        <family val="3"/>
      </rPr>
      <t>輔</t>
    </r>
    <r>
      <rPr>
        <b/>
        <sz val="8"/>
        <rFont val="Times New Roman"/>
        <family val="1"/>
      </rPr>
      <t xml:space="preserve">    </t>
    </r>
    <r>
      <rPr>
        <b/>
        <sz val="8"/>
        <rFont val="華康中黑體"/>
        <family val="3"/>
      </rPr>
      <t>會</t>
    </r>
    <r>
      <rPr>
        <b/>
        <sz val="8"/>
        <rFont val="Times New Roman"/>
        <family val="1"/>
      </rPr>
      <t xml:space="preserve">    </t>
    </r>
    <r>
      <rPr>
        <b/>
        <sz val="8"/>
        <rFont val="華康中黑體"/>
        <family val="3"/>
      </rPr>
      <t>主</t>
    </r>
    <r>
      <rPr>
        <b/>
        <sz val="8"/>
        <rFont val="Times New Roman"/>
        <family val="1"/>
      </rPr>
      <t xml:space="preserve">    </t>
    </r>
    <r>
      <rPr>
        <b/>
        <sz val="8"/>
        <rFont val="華康中黑體"/>
        <family val="3"/>
      </rPr>
      <t>管</t>
    </r>
  </si>
  <si>
    <t>勞  委  會  主  管</t>
  </si>
  <si>
    <r>
      <t>衛</t>
    </r>
    <r>
      <rPr>
        <b/>
        <sz val="8"/>
        <rFont val="Times New Roman"/>
        <family val="1"/>
      </rPr>
      <t xml:space="preserve"> </t>
    </r>
    <r>
      <rPr>
        <b/>
        <sz val="8"/>
        <rFont val="華康中黑體"/>
        <family val="3"/>
      </rPr>
      <t xml:space="preserve">  生  署  主  管</t>
    </r>
  </si>
  <si>
    <r>
      <t>員工人數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丁</t>
    </r>
  </si>
  <si>
    <t>交通部臺灣鐵路局</t>
  </si>
  <si>
    <t>交通部基隆港務局</t>
  </si>
  <si>
    <t>交通部臺中港務局</t>
  </si>
  <si>
    <t>交通部高雄港務局</t>
  </si>
  <si>
    <t>交通部花蓮港務局</t>
  </si>
  <si>
    <t>臺灣菸酒股份有限公司</t>
  </si>
  <si>
    <t>合作金庫銀行有限公司</t>
  </si>
  <si>
    <t>交通部臺灣鐵路局</t>
  </si>
  <si>
    <t xml:space="preserve">  丁 三、員     工     人    數</t>
  </si>
  <si>
    <t>綜     計     表  (續)</t>
  </si>
  <si>
    <t xml:space="preserve">         丁 三、員     工    人    數</t>
  </si>
  <si>
    <t xml:space="preserve">   綜     計     表 (續)</t>
  </si>
  <si>
    <r>
      <t>營</t>
    </r>
    <r>
      <rPr>
        <sz val="8"/>
        <rFont val="新細明體"/>
        <family val="1"/>
      </rPr>
      <t>業</t>
    </r>
    <r>
      <rPr>
        <sz val="8"/>
        <rFont val="新細明體"/>
        <family val="1"/>
      </rPr>
      <t>支</t>
    </r>
    <r>
      <rPr>
        <sz val="8"/>
        <rFont val="新細明體"/>
        <family val="1"/>
      </rPr>
      <t>出</t>
    </r>
    <r>
      <rPr>
        <sz val="8"/>
        <rFont val="新細明體"/>
        <family val="1"/>
      </rPr>
      <t>決</t>
    </r>
    <r>
      <rPr>
        <sz val="8"/>
        <rFont val="新細明體"/>
        <family val="1"/>
      </rPr>
      <t>算</t>
    </r>
    <r>
      <rPr>
        <sz val="8"/>
        <rFont val="新細明體"/>
        <family val="1"/>
      </rPr>
      <t>部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不</t>
    </r>
    <r>
      <rPr>
        <sz val="8"/>
        <rFont val="新細明體"/>
        <family val="1"/>
      </rPr>
      <t>包</t>
    </r>
    <r>
      <rPr>
        <sz val="8"/>
        <rFont val="新細明體"/>
        <family val="1"/>
      </rPr>
      <t>括</t>
    </r>
    <r>
      <rPr>
        <sz val="8"/>
        <rFont val="新細明體"/>
        <family val="1"/>
      </rPr>
      <t>資</t>
    </r>
    <r>
      <rPr>
        <sz val="8"/>
        <rFont val="新細明體"/>
        <family val="1"/>
      </rPr>
      <t>本</t>
    </r>
    <r>
      <rPr>
        <sz val="8"/>
        <rFont val="新細明體"/>
        <family val="1"/>
      </rPr>
      <t>支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>)</t>
    </r>
  </si>
  <si>
    <r>
      <t>研究發展、員</t>
    </r>
    <r>
      <rPr>
        <sz val="8"/>
        <rFont val="新細明體"/>
        <family val="1"/>
      </rPr>
      <t>工</t>
    </r>
    <r>
      <rPr>
        <sz val="8"/>
        <rFont val="新細明體"/>
        <family val="1"/>
      </rPr>
      <t>訓</t>
    </r>
    <r>
      <rPr>
        <sz val="8"/>
        <rFont val="新細明體"/>
        <family val="1"/>
      </rPr>
      <t>練及其他部分</t>
    </r>
  </si>
  <si>
    <r>
      <t>管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理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分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</si>
</sst>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&quot;_-;_-@_-"/>
    <numFmt numFmtId="185" formatCode="_-* #,##0_-;\-* #,##0_-;_-* &quot;&quot;_-"/>
    <numFmt numFmtId="186" formatCode="_-\ #,##0_-;\-\ #,##0_-;_-\ &quot;&quot;_-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華康中黑體"/>
      <family val="3"/>
    </font>
    <font>
      <b/>
      <sz val="12"/>
      <name val="華康中黑體"/>
      <family val="3"/>
    </font>
    <font>
      <sz val="12"/>
      <name val="華康中黑體"/>
      <family val="3"/>
    </font>
    <font>
      <b/>
      <sz val="18"/>
      <name val="華康特粗明體"/>
      <family val="3"/>
    </font>
    <font>
      <b/>
      <sz val="8"/>
      <name val="Times New Roman"/>
      <family val="1"/>
    </font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6" fontId="11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9" fillId="0" borderId="0" xfId="0" applyNumberFormat="1" applyFont="1" applyAlignment="1" quotePrefix="1">
      <alignment horizontal="left"/>
    </xf>
    <xf numFmtId="186" fontId="9" fillId="0" borderId="0" xfId="0" applyNumberFormat="1" applyFont="1" applyAlignment="1" quotePrefix="1">
      <alignment horizontal="right"/>
    </xf>
    <xf numFmtId="186" fontId="9" fillId="0" borderId="0" xfId="0" applyNumberFormat="1" applyFont="1" applyAlignment="1">
      <alignment horizontal="left"/>
    </xf>
    <xf numFmtId="186" fontId="0" fillId="0" borderId="1" xfId="0" applyNumberFormat="1" applyBorder="1" applyAlignment="1">
      <alignment/>
    </xf>
    <xf numFmtId="186" fontId="4" fillId="0" borderId="1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5" fillId="0" borderId="0" xfId="0" applyNumberFormat="1" applyFont="1" applyBorder="1" applyAlignment="1" quotePrefix="1">
      <alignment horizontal="left"/>
    </xf>
    <xf numFmtId="186" fontId="5" fillId="0" borderId="0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6" fontId="5" fillId="0" borderId="4" xfId="0" applyNumberFormat="1" applyFont="1" applyBorder="1" applyAlignment="1" quotePrefix="1">
      <alignment horizontal="left"/>
    </xf>
    <xf numFmtId="186" fontId="5" fillId="0" borderId="4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left"/>
    </xf>
    <xf numFmtId="186" fontId="5" fillId="0" borderId="3" xfId="0" applyNumberFormat="1" applyFont="1" applyBorder="1" applyAlignment="1" quotePrefix="1">
      <alignment horizontal="left"/>
    </xf>
    <xf numFmtId="186" fontId="5" fillId="0" borderId="2" xfId="0" applyNumberFormat="1" applyFont="1" applyBorder="1" applyAlignment="1" quotePrefix="1">
      <alignment horizontal="left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 quotePrefix="1">
      <alignment horizontal="left"/>
    </xf>
    <xf numFmtId="186" fontId="5" fillId="0" borderId="6" xfId="0" applyNumberFormat="1" applyFont="1" applyBorder="1" applyAlignment="1" quotePrefix="1">
      <alignment horizontal="left"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 quotePrefix="1">
      <alignment horizontal="center"/>
    </xf>
    <xf numFmtId="186" fontId="10" fillId="0" borderId="0" xfId="0" applyNumberFormat="1" applyFont="1" applyAlignment="1">
      <alignment/>
    </xf>
    <xf numFmtId="186" fontId="12" fillId="0" borderId="0" xfId="0" applyNumberFormat="1" applyFont="1" applyAlignment="1" quotePrefix="1">
      <alignment horizontal="distributed" vertical="distributed"/>
    </xf>
    <xf numFmtId="186" fontId="12" fillId="0" borderId="0" xfId="0" applyNumberFormat="1" applyFont="1" applyAlignment="1" quotePrefix="1">
      <alignment horizontal="center" vertical="center"/>
    </xf>
    <xf numFmtId="186" fontId="6" fillId="0" borderId="0" xfId="0" applyNumberFormat="1" applyFont="1" applyAlignment="1" quotePrefix="1">
      <alignment horizontal="center" vertical="distributed"/>
    </xf>
    <xf numFmtId="186" fontId="7" fillId="0" borderId="0" xfId="0" applyNumberFormat="1" applyFont="1" applyAlignment="1">
      <alignment/>
    </xf>
    <xf numFmtId="186" fontId="12" fillId="0" borderId="0" xfId="0" applyNumberFormat="1" applyFont="1" applyAlignment="1">
      <alignment horizontal="distributed" vertical="distributed"/>
    </xf>
    <xf numFmtId="186" fontId="12" fillId="0" borderId="0" xfId="0" applyNumberFormat="1" applyFont="1" applyAlignment="1">
      <alignment horizontal="distributed" vertical="center"/>
    </xf>
    <xf numFmtId="186" fontId="12" fillId="0" borderId="0" xfId="0" applyNumberFormat="1" applyFont="1" applyBorder="1" applyAlignment="1">
      <alignment horizontal="distributed"/>
    </xf>
    <xf numFmtId="186" fontId="12" fillId="0" borderId="0" xfId="0" applyNumberFormat="1" applyFont="1" applyBorder="1" applyAlignment="1" quotePrefix="1">
      <alignment horizontal="center" vertical="center"/>
    </xf>
    <xf numFmtId="186" fontId="12" fillId="0" borderId="0" xfId="0" applyNumberFormat="1" applyFont="1" applyBorder="1" applyAlignment="1">
      <alignment horizontal="distributed" vertical="distributed"/>
    </xf>
    <xf numFmtId="186" fontId="5" fillId="0" borderId="1" xfId="0" applyNumberFormat="1" applyFont="1" applyBorder="1" applyAlignment="1">
      <alignment/>
    </xf>
    <xf numFmtId="186" fontId="12" fillId="0" borderId="0" xfId="0" applyNumberFormat="1" applyFont="1" applyBorder="1" applyAlignment="1" applyProtection="1" quotePrefix="1">
      <alignment horizontal="distributed" vertical="center"/>
      <protection/>
    </xf>
    <xf numFmtId="186" fontId="14" fillId="0" borderId="0" xfId="0" applyNumberFormat="1" applyFont="1" applyAlignment="1">
      <alignment horizontal="distributed" vertical="center"/>
    </xf>
    <xf numFmtId="186" fontId="5" fillId="0" borderId="0" xfId="0" applyNumberFormat="1" applyFont="1" applyAlignment="1">
      <alignment vertical="center"/>
    </xf>
    <xf numFmtId="186" fontId="6" fillId="0" borderId="0" xfId="0" applyNumberFormat="1" applyFont="1" applyAlignment="1" quotePrefix="1">
      <alignment horizontal="center" vertical="center" wrapText="1"/>
    </xf>
    <xf numFmtId="186" fontId="10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>
      <alignment horizontal="distributed" vertical="distributed"/>
    </xf>
    <xf numFmtId="186" fontId="10" fillId="0" borderId="1" xfId="0" applyNumberFormat="1" applyFont="1" applyBorder="1" applyAlignment="1">
      <alignment/>
    </xf>
    <xf numFmtId="186" fontId="6" fillId="0" borderId="1" xfId="0" applyNumberFormat="1" applyFont="1" applyBorder="1" applyAlignment="1" quotePrefix="1">
      <alignment horizontal="distributed" vertical="center"/>
    </xf>
    <xf numFmtId="186" fontId="8" fillId="0" borderId="1" xfId="0" applyNumberFormat="1" applyFont="1" applyBorder="1" applyAlignment="1">
      <alignment/>
    </xf>
    <xf numFmtId="186" fontId="0" fillId="0" borderId="0" xfId="0" applyNumberFormat="1" applyAlignment="1" quotePrefix="1">
      <alignment horizontal="left"/>
    </xf>
    <xf numFmtId="186" fontId="9" fillId="0" borderId="0" xfId="0" applyNumberFormat="1" applyFont="1" applyAlignment="1" quotePrefix="1">
      <alignment horizontal="center"/>
    </xf>
    <xf numFmtId="186" fontId="6" fillId="0" borderId="0" xfId="0" applyNumberFormat="1" applyFont="1" applyAlignment="1">
      <alignment horizontal="center" vertical="distributed"/>
    </xf>
    <xf numFmtId="186" fontId="12" fillId="0" borderId="0" xfId="0" applyNumberFormat="1" applyFont="1" applyAlignment="1">
      <alignment horizontal="distributed"/>
    </xf>
    <xf numFmtId="186" fontId="14" fillId="2" borderId="0" xfId="0" applyNumberFormat="1" applyFont="1" applyFill="1" applyAlignment="1">
      <alignment horizontal="distributed" vertical="center"/>
    </xf>
    <xf numFmtId="186" fontId="5" fillId="2" borderId="0" xfId="0" applyNumberFormat="1" applyFont="1" applyFill="1" applyAlignment="1">
      <alignment/>
    </xf>
    <xf numFmtId="186" fontId="6" fillId="0" borderId="0" xfId="0" applyNumberFormat="1" applyFont="1" applyAlignment="1">
      <alignment horizontal="center" vertical="center" wrapText="1"/>
    </xf>
    <xf numFmtId="186" fontId="12" fillId="0" borderId="1" xfId="0" applyNumberFormat="1" applyFont="1" applyBorder="1" applyAlignment="1">
      <alignment horizontal="distributed" vertical="distributed"/>
    </xf>
    <xf numFmtId="186" fontId="5" fillId="0" borderId="7" xfId="0" applyNumberFormat="1" applyFont="1" applyBorder="1" applyAlignment="1" quotePrefix="1">
      <alignment horizontal="left" vertical="center"/>
    </xf>
    <xf numFmtId="186" fontId="0" fillId="0" borderId="8" xfId="0" applyNumberFormat="1" applyBorder="1" applyAlignment="1">
      <alignment vertical="center"/>
    </xf>
    <xf numFmtId="186" fontId="5" fillId="0" borderId="8" xfId="0" applyNumberFormat="1" applyFont="1" applyBorder="1" applyAlignment="1" quotePrefix="1">
      <alignment horizontal="left" vertical="center"/>
    </xf>
    <xf numFmtId="186" fontId="0" fillId="0" borderId="9" xfId="0" applyNumberFormat="1" applyBorder="1" applyAlignment="1">
      <alignment vertical="center"/>
    </xf>
    <xf numFmtId="186" fontId="12" fillId="0" borderId="10" xfId="0" applyNumberFormat="1" applyFont="1" applyBorder="1" applyAlignment="1" quotePrefix="1">
      <alignment horizontal="center"/>
    </xf>
    <xf numFmtId="186" fontId="12" fillId="0" borderId="11" xfId="0" applyNumberFormat="1" applyFont="1" applyBorder="1" applyAlignment="1" quotePrefix="1">
      <alignment horizontal="center"/>
    </xf>
    <xf numFmtId="186" fontId="12" fillId="0" borderId="1" xfId="0" applyNumberFormat="1" applyFont="1" applyBorder="1" applyAlignment="1" quotePrefix="1">
      <alignment horizontal="center"/>
    </xf>
    <xf numFmtId="186" fontId="5" fillId="0" borderId="12" xfId="0" applyNumberFormat="1" applyFont="1" applyBorder="1" applyAlignment="1" quotePrefix="1">
      <alignment horizontal="left"/>
    </xf>
    <xf numFmtId="186" fontId="6" fillId="0" borderId="0" xfId="0" applyNumberFormat="1" applyFont="1" applyAlignment="1" quotePrefix="1">
      <alignment horizontal="center" vertical="center"/>
    </xf>
    <xf numFmtId="186" fontId="6" fillId="0" borderId="1" xfId="0" applyNumberFormat="1" applyFont="1" applyBorder="1" applyAlignment="1" quotePrefix="1">
      <alignment horizontal="center" vertical="distributed"/>
    </xf>
    <xf numFmtId="186" fontId="12" fillId="0" borderId="7" xfId="0" applyNumberFormat="1" applyFont="1" applyBorder="1" applyAlignment="1">
      <alignment horizontal="center"/>
    </xf>
    <xf numFmtId="186" fontId="12" fillId="0" borderId="8" xfId="0" applyNumberFormat="1" applyFont="1" applyBorder="1" applyAlignment="1">
      <alignment horizontal="center"/>
    </xf>
    <xf numFmtId="186" fontId="12" fillId="0" borderId="9" xfId="0" applyNumberFormat="1" applyFont="1" applyBorder="1" applyAlignment="1">
      <alignment horizontal="center"/>
    </xf>
    <xf numFmtId="186" fontId="12" fillId="0" borderId="12" xfId="0" applyNumberFormat="1" applyFont="1" applyBorder="1" applyAlignment="1">
      <alignment horizontal="center"/>
    </xf>
    <xf numFmtId="186" fontId="12" fillId="0" borderId="4" xfId="0" applyNumberFormat="1" applyFont="1" applyBorder="1" applyAlignment="1">
      <alignment horizontal="center"/>
    </xf>
    <xf numFmtId="186" fontId="12" fillId="0" borderId="5" xfId="0" applyNumberFormat="1" applyFont="1" applyBorder="1" applyAlignment="1">
      <alignment horizontal="center"/>
    </xf>
    <xf numFmtId="186" fontId="5" fillId="0" borderId="12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6" fontId="5" fillId="0" borderId="5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5.50390625" style="2" customWidth="1"/>
    <col min="2" max="2" width="4.375" style="2" customWidth="1"/>
    <col min="3" max="3" width="5.50390625" style="2" customWidth="1"/>
    <col min="4" max="4" width="4.75390625" style="2" customWidth="1"/>
    <col min="5" max="5" width="5.50390625" style="2" customWidth="1"/>
    <col min="6" max="6" width="4.75390625" style="2" customWidth="1"/>
    <col min="7" max="7" width="5.50390625" style="2" customWidth="1"/>
    <col min="8" max="8" width="4.75390625" style="2" customWidth="1"/>
    <col min="9" max="9" width="5.125" style="2" customWidth="1"/>
    <col min="10" max="10" width="4.75390625" style="2" customWidth="1"/>
    <col min="11" max="11" width="5.50390625" style="2" customWidth="1"/>
    <col min="12" max="12" width="4.75390625" style="2" customWidth="1"/>
    <col min="13" max="13" width="26.75390625" style="2" customWidth="1"/>
    <col min="14" max="14" width="5.875" style="2" customWidth="1"/>
    <col min="15" max="15" width="5.00390625" style="2" customWidth="1"/>
    <col min="16" max="16" width="5.875" style="2" customWidth="1"/>
    <col min="17" max="17" width="5.125" style="2" customWidth="1"/>
    <col min="18" max="18" width="6.50390625" style="2" customWidth="1"/>
    <col min="19" max="19" width="5.125" style="2" customWidth="1"/>
    <col min="20" max="20" width="5.875" style="2" customWidth="1"/>
    <col min="21" max="21" width="5.25390625" style="2" customWidth="1"/>
    <col min="22" max="22" width="5.875" style="2" customWidth="1"/>
    <col min="23" max="23" width="5.125" style="2" customWidth="1"/>
    <col min="24" max="24" width="5.875" style="2" customWidth="1"/>
    <col min="25" max="25" width="5.125" style="2" customWidth="1"/>
    <col min="26" max="26" width="5.875" style="2" customWidth="1"/>
    <col min="27" max="27" width="4.875" style="2" customWidth="1"/>
    <col min="28" max="28" width="5.875" style="2" customWidth="1"/>
    <col min="29" max="29" width="5.625" style="2" customWidth="1"/>
    <col min="30" max="30" width="27.00390625" style="2" customWidth="1"/>
    <col min="31" max="31" width="6.00390625" style="2" customWidth="1"/>
    <col min="32" max="32" width="5.125" style="2" customWidth="1"/>
    <col min="33" max="33" width="6.00390625" style="2" customWidth="1"/>
    <col min="34" max="34" width="5.125" style="2" customWidth="1"/>
    <col min="35" max="35" width="6.00390625" style="2" customWidth="1"/>
    <col min="36" max="36" width="5.125" style="2" customWidth="1"/>
    <col min="37" max="37" width="6.00390625" style="2" customWidth="1"/>
    <col min="38" max="38" width="5.125" style="2" customWidth="1"/>
    <col min="39" max="39" width="6.00390625" style="2" customWidth="1"/>
    <col min="40" max="40" width="5.125" style="2" customWidth="1"/>
    <col min="41" max="41" width="6.00390625" style="2" customWidth="1"/>
    <col min="42" max="42" width="4.875" style="2" customWidth="1"/>
    <col min="43" max="43" width="5.375" style="2" customWidth="1"/>
    <col min="44" max="44" width="4.50390625" style="2" customWidth="1"/>
    <col min="45" max="45" width="5.50390625" style="2" customWidth="1"/>
    <col min="46" max="46" width="4.50390625" style="2" customWidth="1"/>
    <col min="47" max="47" width="5.375" style="2" customWidth="1"/>
    <col min="48" max="48" width="4.25390625" style="2" customWidth="1"/>
    <col min="49" max="49" width="5.625" style="2" customWidth="1"/>
    <col min="50" max="50" width="4.375" style="2" customWidth="1"/>
    <col min="51" max="51" width="6.75390625" style="2" customWidth="1"/>
    <col min="52" max="52" width="5.125" style="2" customWidth="1"/>
    <col min="53" max="53" width="6.00390625" style="2" customWidth="1"/>
    <col min="54" max="54" width="5.125" style="2" customWidth="1"/>
    <col min="55" max="55" width="6.00390625" style="2" customWidth="1"/>
    <col min="56" max="56" width="4.625" style="2" customWidth="1"/>
    <col min="57" max="57" width="6.00390625" style="2" customWidth="1"/>
    <col min="58" max="58" width="5.25390625" style="2" customWidth="1"/>
    <col min="59" max="16384" width="9.00390625" style="2" customWidth="1"/>
  </cols>
  <sheetData>
    <row r="1" spans="1:55" ht="15.75" customHeight="1">
      <c r="A1" s="1" t="s">
        <v>0</v>
      </c>
      <c r="Z1" s="1" t="s">
        <v>1</v>
      </c>
      <c r="AD1" s="1" t="s">
        <v>0</v>
      </c>
      <c r="AE1" s="45"/>
      <c r="BC1" s="1" t="s">
        <v>72</v>
      </c>
    </row>
    <row r="2" spans="1:58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81</v>
      </c>
      <c r="O2" s="5" t="s">
        <v>82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" t="s">
        <v>83</v>
      </c>
      <c r="AQ2" s="5" t="s">
        <v>84</v>
      </c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s="8" customFormat="1" ht="7.5" customHeight="1" thickBot="1">
      <c r="A3" s="6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s="8" customFormat="1" ht="1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9" t="s">
        <v>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63" t="s">
        <v>85</v>
      </c>
      <c r="AF4" s="64"/>
      <c r="AG4" s="64"/>
      <c r="AH4" s="65"/>
      <c r="AI4" s="53" t="s">
        <v>44</v>
      </c>
      <c r="AJ4" s="54"/>
      <c r="AK4" s="54"/>
      <c r="AL4" s="54"/>
      <c r="AM4" s="54"/>
      <c r="AN4" s="54"/>
      <c r="AO4" s="54"/>
      <c r="AP4" s="54"/>
      <c r="AQ4" s="55" t="s">
        <v>45</v>
      </c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6"/>
      <c r="BC4" s="9" t="s">
        <v>43</v>
      </c>
      <c r="BD4" s="10"/>
      <c r="BE4" s="10"/>
      <c r="BF4" s="10"/>
    </row>
    <row r="5" spans="1:58" ht="15" customHeight="1">
      <c r="A5" s="13" t="s">
        <v>4</v>
      </c>
      <c r="B5" s="14"/>
      <c r="C5" s="14"/>
      <c r="D5" s="15"/>
      <c r="E5" s="13" t="s">
        <v>5</v>
      </c>
      <c r="F5" s="16"/>
      <c r="G5" s="14"/>
      <c r="H5" s="15"/>
      <c r="I5" s="60" t="s">
        <v>6</v>
      </c>
      <c r="J5" s="14"/>
      <c r="K5" s="14"/>
      <c r="L5" s="15"/>
      <c r="M5" s="18" t="s">
        <v>7</v>
      </c>
      <c r="N5" s="60" t="s">
        <v>8</v>
      </c>
      <c r="O5" s="14"/>
      <c r="P5" s="14"/>
      <c r="Q5" s="15"/>
      <c r="R5" s="13" t="s">
        <v>9</v>
      </c>
      <c r="S5" s="14"/>
      <c r="T5" s="14"/>
      <c r="U5" s="15"/>
      <c r="V5" s="13" t="s">
        <v>10</v>
      </c>
      <c r="W5" s="14"/>
      <c r="X5" s="14"/>
      <c r="Y5" s="15"/>
      <c r="Z5" s="13" t="s">
        <v>11</v>
      </c>
      <c r="AA5" s="14"/>
      <c r="AB5" s="14"/>
      <c r="AC5" s="14"/>
      <c r="AD5" s="18" t="s">
        <v>7</v>
      </c>
      <c r="AE5" s="13" t="s">
        <v>62</v>
      </c>
      <c r="AF5" s="14"/>
      <c r="AG5" s="14"/>
      <c r="AH5" s="15"/>
      <c r="AI5" s="60" t="s">
        <v>8</v>
      </c>
      <c r="AJ5" s="16"/>
      <c r="AK5" s="14"/>
      <c r="AL5" s="15"/>
      <c r="AM5" s="13" t="s">
        <v>9</v>
      </c>
      <c r="AN5" s="14"/>
      <c r="AO5" s="14"/>
      <c r="AP5" s="15"/>
      <c r="AQ5" s="66" t="s">
        <v>87</v>
      </c>
      <c r="AR5" s="67"/>
      <c r="AS5" s="67"/>
      <c r="AT5" s="68"/>
      <c r="AU5" s="66" t="s">
        <v>86</v>
      </c>
      <c r="AV5" s="67"/>
      <c r="AW5" s="67"/>
      <c r="AX5" s="68"/>
      <c r="AY5" s="69" t="s">
        <v>63</v>
      </c>
      <c r="AZ5" s="70"/>
      <c r="BA5" s="70"/>
      <c r="BB5" s="71"/>
      <c r="BC5" s="17" t="s">
        <v>46</v>
      </c>
      <c r="BD5" s="12"/>
      <c r="BE5" s="12"/>
      <c r="BF5" s="12"/>
    </row>
    <row r="6" spans="1:58" ht="15" customHeight="1">
      <c r="A6" s="20" t="s">
        <v>12</v>
      </c>
      <c r="B6" s="11"/>
      <c r="C6" s="20" t="s">
        <v>13</v>
      </c>
      <c r="D6" s="11"/>
      <c r="E6" s="20" t="s">
        <v>12</v>
      </c>
      <c r="F6" s="11"/>
      <c r="G6" s="20" t="s">
        <v>13</v>
      </c>
      <c r="H6" s="11"/>
      <c r="I6" s="20" t="s">
        <v>14</v>
      </c>
      <c r="J6" s="11"/>
      <c r="K6" s="20" t="s">
        <v>13</v>
      </c>
      <c r="L6" s="11"/>
      <c r="M6" s="11"/>
      <c r="N6" s="9" t="s">
        <v>15</v>
      </c>
      <c r="O6" s="11"/>
      <c r="P6" s="20" t="s">
        <v>16</v>
      </c>
      <c r="Q6" s="11"/>
      <c r="R6" s="20" t="s">
        <v>15</v>
      </c>
      <c r="S6" s="11"/>
      <c r="T6" s="20" t="s">
        <v>16</v>
      </c>
      <c r="U6" s="11"/>
      <c r="V6" s="20" t="s">
        <v>15</v>
      </c>
      <c r="W6" s="11"/>
      <c r="X6" s="20" t="s">
        <v>16</v>
      </c>
      <c r="Y6" s="11"/>
      <c r="Z6" s="20" t="s">
        <v>15</v>
      </c>
      <c r="AA6" s="11"/>
      <c r="AB6" s="20" t="s">
        <v>16</v>
      </c>
      <c r="AC6" s="12"/>
      <c r="AD6" s="11"/>
      <c r="AE6" s="20" t="s">
        <v>12</v>
      </c>
      <c r="AF6" s="11"/>
      <c r="AG6" s="20" t="s">
        <v>13</v>
      </c>
      <c r="AH6" s="11"/>
      <c r="AI6" s="20" t="s">
        <v>12</v>
      </c>
      <c r="AJ6" s="11"/>
      <c r="AK6" s="20" t="s">
        <v>13</v>
      </c>
      <c r="AL6" s="11"/>
      <c r="AM6" s="20" t="s">
        <v>14</v>
      </c>
      <c r="AN6" s="11"/>
      <c r="AO6" s="20" t="s">
        <v>13</v>
      </c>
      <c r="AP6" s="11"/>
      <c r="AQ6" s="9" t="s">
        <v>15</v>
      </c>
      <c r="AR6" s="11"/>
      <c r="AS6" s="20" t="s">
        <v>16</v>
      </c>
      <c r="AT6" s="11"/>
      <c r="AU6" s="20" t="s">
        <v>15</v>
      </c>
      <c r="AV6" s="11"/>
      <c r="AW6" s="20" t="s">
        <v>16</v>
      </c>
      <c r="AX6" s="11"/>
      <c r="AY6" s="20" t="s">
        <v>15</v>
      </c>
      <c r="AZ6" s="11"/>
      <c r="BA6" s="20" t="s">
        <v>16</v>
      </c>
      <c r="BB6" s="11"/>
      <c r="BC6" s="20" t="s">
        <v>15</v>
      </c>
      <c r="BD6" s="11"/>
      <c r="BE6" s="20" t="s">
        <v>16</v>
      </c>
      <c r="BF6" s="12"/>
    </row>
    <row r="7" spans="1:58" ht="16.5" customHeight="1" thickBot="1">
      <c r="A7" s="57" t="s">
        <v>17</v>
      </c>
      <c r="B7" s="57" t="s">
        <v>18</v>
      </c>
      <c r="C7" s="57" t="s">
        <v>17</v>
      </c>
      <c r="D7" s="57" t="s">
        <v>19</v>
      </c>
      <c r="E7" s="57" t="s">
        <v>17</v>
      </c>
      <c r="F7" s="57" t="s">
        <v>19</v>
      </c>
      <c r="G7" s="57" t="s">
        <v>17</v>
      </c>
      <c r="H7" s="57" t="s">
        <v>19</v>
      </c>
      <c r="I7" s="57" t="s">
        <v>20</v>
      </c>
      <c r="J7" s="57" t="s">
        <v>19</v>
      </c>
      <c r="K7" s="57" t="s">
        <v>17</v>
      </c>
      <c r="L7" s="57" t="s">
        <v>19</v>
      </c>
      <c r="M7" s="21"/>
      <c r="N7" s="57" t="s">
        <v>17</v>
      </c>
      <c r="O7" s="57" t="s">
        <v>19</v>
      </c>
      <c r="P7" s="57" t="s">
        <v>17</v>
      </c>
      <c r="Q7" s="57" t="s">
        <v>21</v>
      </c>
      <c r="R7" s="57" t="s">
        <v>17</v>
      </c>
      <c r="S7" s="57" t="s">
        <v>21</v>
      </c>
      <c r="T7" s="57" t="s">
        <v>17</v>
      </c>
      <c r="U7" s="57" t="s">
        <v>19</v>
      </c>
      <c r="V7" s="57" t="s">
        <v>22</v>
      </c>
      <c r="W7" s="57" t="s">
        <v>19</v>
      </c>
      <c r="X7" s="57" t="s">
        <v>22</v>
      </c>
      <c r="Y7" s="57" t="s">
        <v>19</v>
      </c>
      <c r="Z7" s="57" t="s">
        <v>22</v>
      </c>
      <c r="AA7" s="57" t="s">
        <v>18</v>
      </c>
      <c r="AB7" s="58" t="s">
        <v>22</v>
      </c>
      <c r="AC7" s="59" t="s">
        <v>18</v>
      </c>
      <c r="AD7" s="21"/>
      <c r="AE7" s="57" t="s">
        <v>17</v>
      </c>
      <c r="AF7" s="57" t="s">
        <v>18</v>
      </c>
      <c r="AG7" s="57" t="s">
        <v>17</v>
      </c>
      <c r="AH7" s="57" t="s">
        <v>19</v>
      </c>
      <c r="AI7" s="57" t="s">
        <v>17</v>
      </c>
      <c r="AJ7" s="57" t="s">
        <v>19</v>
      </c>
      <c r="AK7" s="57" t="s">
        <v>17</v>
      </c>
      <c r="AL7" s="57" t="s">
        <v>19</v>
      </c>
      <c r="AM7" s="57" t="s">
        <v>20</v>
      </c>
      <c r="AN7" s="57" t="s">
        <v>19</v>
      </c>
      <c r="AO7" s="57" t="s">
        <v>17</v>
      </c>
      <c r="AP7" s="57" t="s">
        <v>19</v>
      </c>
      <c r="AQ7" s="57" t="s">
        <v>17</v>
      </c>
      <c r="AR7" s="57" t="s">
        <v>19</v>
      </c>
      <c r="AS7" s="57" t="s">
        <v>17</v>
      </c>
      <c r="AT7" s="57" t="s">
        <v>21</v>
      </c>
      <c r="AU7" s="57" t="s">
        <v>17</v>
      </c>
      <c r="AV7" s="57" t="s">
        <v>21</v>
      </c>
      <c r="AW7" s="57" t="s">
        <v>17</v>
      </c>
      <c r="AX7" s="57" t="s">
        <v>19</v>
      </c>
      <c r="AY7" s="57" t="s">
        <v>22</v>
      </c>
      <c r="AZ7" s="57" t="s">
        <v>19</v>
      </c>
      <c r="BA7" s="57" t="s">
        <v>22</v>
      </c>
      <c r="BB7" s="57" t="s">
        <v>19</v>
      </c>
      <c r="BC7" s="57" t="s">
        <v>22</v>
      </c>
      <c r="BD7" s="57" t="s">
        <v>18</v>
      </c>
      <c r="BE7" s="58" t="s">
        <v>22</v>
      </c>
      <c r="BF7" s="59" t="s">
        <v>18</v>
      </c>
    </row>
    <row r="8" spans="1:58" s="22" customFormat="1" ht="16.5" customHeight="1">
      <c r="A8" s="22">
        <f>+A9</f>
        <v>0</v>
      </c>
      <c r="B8" s="22">
        <f aca="true" t="shared" si="0" ref="B8:L8">+B9</f>
        <v>0</v>
      </c>
      <c r="C8" s="22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3" t="s">
        <v>23</v>
      </c>
      <c r="N8" s="22">
        <f>+N9</f>
        <v>451</v>
      </c>
      <c r="O8" s="22">
        <f aca="true" t="shared" si="1" ref="O8:AC8">+O9</f>
        <v>0</v>
      </c>
      <c r="P8" s="22">
        <f t="shared" si="1"/>
        <v>885</v>
      </c>
      <c r="Q8" s="22">
        <f t="shared" si="1"/>
        <v>0</v>
      </c>
      <c r="R8" s="24">
        <f t="shared" si="1"/>
        <v>669</v>
      </c>
      <c r="S8" s="24">
        <f t="shared" si="1"/>
        <v>0</v>
      </c>
      <c r="T8" s="24">
        <f t="shared" si="1"/>
        <v>33</v>
      </c>
      <c r="U8" s="24">
        <f t="shared" si="1"/>
        <v>0</v>
      </c>
      <c r="V8" s="24">
        <f t="shared" si="1"/>
        <v>185</v>
      </c>
      <c r="W8" s="24">
        <f t="shared" si="1"/>
        <v>0</v>
      </c>
      <c r="X8" s="24">
        <f t="shared" si="1"/>
        <v>44</v>
      </c>
      <c r="Y8" s="24">
        <f t="shared" si="1"/>
        <v>0</v>
      </c>
      <c r="Z8" s="24">
        <f t="shared" si="1"/>
        <v>28</v>
      </c>
      <c r="AA8" s="24">
        <f t="shared" si="1"/>
        <v>0</v>
      </c>
      <c r="AB8" s="24">
        <f t="shared" si="1"/>
        <v>4</v>
      </c>
      <c r="AC8" s="24">
        <f t="shared" si="1"/>
        <v>0</v>
      </c>
      <c r="AD8" s="61" t="s">
        <v>23</v>
      </c>
      <c r="AE8" s="39">
        <f>+AE9</f>
        <v>1333</v>
      </c>
      <c r="AF8" s="39">
        <f aca="true" t="shared" si="2" ref="AF8:BF8">+AF9</f>
        <v>0</v>
      </c>
      <c r="AG8" s="39">
        <f t="shared" si="2"/>
        <v>966</v>
      </c>
      <c r="AH8" s="39">
        <f t="shared" si="2"/>
        <v>0</v>
      </c>
      <c r="AI8" s="39">
        <f t="shared" si="2"/>
        <v>495</v>
      </c>
      <c r="AJ8" s="39">
        <f t="shared" si="2"/>
        <v>0</v>
      </c>
      <c r="AK8" s="39">
        <f t="shared" si="2"/>
        <v>897</v>
      </c>
      <c r="AL8" s="39">
        <f t="shared" si="2"/>
        <v>0</v>
      </c>
      <c r="AM8" s="39">
        <f t="shared" si="2"/>
        <v>691</v>
      </c>
      <c r="AN8" s="39">
        <f t="shared" si="2"/>
        <v>0</v>
      </c>
      <c r="AO8" s="39">
        <f t="shared" si="2"/>
        <v>57</v>
      </c>
      <c r="AP8" s="39">
        <f t="shared" si="2"/>
        <v>0</v>
      </c>
      <c r="AQ8" s="39">
        <f t="shared" si="2"/>
        <v>187</v>
      </c>
      <c r="AR8" s="39">
        <f t="shared" si="2"/>
        <v>0</v>
      </c>
      <c r="AS8" s="39">
        <f t="shared" si="2"/>
        <v>33</v>
      </c>
      <c r="AT8" s="39">
        <f t="shared" si="2"/>
        <v>0</v>
      </c>
      <c r="AU8" s="39">
        <f t="shared" si="2"/>
        <v>30</v>
      </c>
      <c r="AV8" s="39">
        <f t="shared" si="2"/>
        <v>0</v>
      </c>
      <c r="AW8" s="39">
        <f t="shared" si="2"/>
        <v>0</v>
      </c>
      <c r="AX8" s="39">
        <f t="shared" si="2"/>
        <v>0</v>
      </c>
      <c r="AY8" s="39">
        <f t="shared" si="2"/>
        <v>1403</v>
      </c>
      <c r="AZ8" s="39">
        <f t="shared" si="2"/>
        <v>0</v>
      </c>
      <c r="BA8" s="39">
        <f t="shared" si="2"/>
        <v>987</v>
      </c>
      <c r="BB8" s="39">
        <f t="shared" si="2"/>
        <v>0</v>
      </c>
      <c r="BC8" s="39">
        <f t="shared" si="2"/>
        <v>-70</v>
      </c>
      <c r="BD8" s="39">
        <f t="shared" si="2"/>
        <v>0</v>
      </c>
      <c r="BE8" s="39">
        <f t="shared" si="2"/>
        <v>-21</v>
      </c>
      <c r="BF8" s="39">
        <f t="shared" si="2"/>
        <v>0</v>
      </c>
    </row>
    <row r="9" spans="1:58" ht="16.5" customHeight="1">
      <c r="A9" s="19">
        <f aca="true" t="shared" si="3" ref="A9:L9">+A10+A11</f>
        <v>0</v>
      </c>
      <c r="B9" s="19">
        <f t="shared" si="3"/>
        <v>0</v>
      </c>
      <c r="C9" s="19">
        <f t="shared" si="3"/>
        <v>0</v>
      </c>
      <c r="D9" s="19">
        <f t="shared" si="3"/>
        <v>0</v>
      </c>
      <c r="E9" s="19">
        <f t="shared" si="3"/>
        <v>0</v>
      </c>
      <c r="F9" s="19">
        <f t="shared" si="3"/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25" t="s">
        <v>47</v>
      </c>
      <c r="N9" s="19">
        <f aca="true" t="shared" si="4" ref="N9:AC9">+N10+N11</f>
        <v>451</v>
      </c>
      <c r="O9" s="19">
        <f t="shared" si="4"/>
        <v>0</v>
      </c>
      <c r="P9" s="19">
        <f t="shared" si="4"/>
        <v>885</v>
      </c>
      <c r="Q9" s="19">
        <f t="shared" si="4"/>
        <v>0</v>
      </c>
      <c r="R9" s="19">
        <f t="shared" si="4"/>
        <v>669</v>
      </c>
      <c r="S9" s="19">
        <f t="shared" si="4"/>
        <v>0</v>
      </c>
      <c r="T9" s="19">
        <f t="shared" si="4"/>
        <v>33</v>
      </c>
      <c r="U9" s="19">
        <f t="shared" si="4"/>
        <v>0</v>
      </c>
      <c r="V9" s="19">
        <f t="shared" si="4"/>
        <v>185</v>
      </c>
      <c r="W9" s="19">
        <f t="shared" si="4"/>
        <v>0</v>
      </c>
      <c r="X9" s="19">
        <f t="shared" si="4"/>
        <v>44</v>
      </c>
      <c r="Y9" s="19">
        <f t="shared" si="4"/>
        <v>0</v>
      </c>
      <c r="Z9" s="19">
        <f t="shared" si="4"/>
        <v>28</v>
      </c>
      <c r="AA9" s="19">
        <f t="shared" si="4"/>
        <v>0</v>
      </c>
      <c r="AB9" s="19">
        <f t="shared" si="4"/>
        <v>4</v>
      </c>
      <c r="AC9" s="19">
        <f t="shared" si="4"/>
        <v>0</v>
      </c>
      <c r="AD9" s="25" t="s">
        <v>47</v>
      </c>
      <c r="AE9" s="19">
        <f>+AE10+AE11</f>
        <v>1333</v>
      </c>
      <c r="AF9" s="19">
        <f aca="true" t="shared" si="5" ref="AF9:BF9">+AF10+AF11</f>
        <v>0</v>
      </c>
      <c r="AG9" s="19">
        <f t="shared" si="5"/>
        <v>966</v>
      </c>
      <c r="AH9" s="19">
        <f t="shared" si="5"/>
        <v>0</v>
      </c>
      <c r="AI9" s="19">
        <f t="shared" si="5"/>
        <v>495</v>
      </c>
      <c r="AJ9" s="19">
        <f t="shared" si="5"/>
        <v>0</v>
      </c>
      <c r="AK9" s="19">
        <f t="shared" si="5"/>
        <v>897</v>
      </c>
      <c r="AL9" s="19">
        <f t="shared" si="5"/>
        <v>0</v>
      </c>
      <c r="AM9" s="19">
        <f t="shared" si="5"/>
        <v>691</v>
      </c>
      <c r="AN9" s="19">
        <f t="shared" si="5"/>
        <v>0</v>
      </c>
      <c r="AO9" s="19">
        <f t="shared" si="5"/>
        <v>57</v>
      </c>
      <c r="AP9" s="19">
        <f t="shared" si="5"/>
        <v>0</v>
      </c>
      <c r="AQ9" s="19">
        <f t="shared" si="5"/>
        <v>187</v>
      </c>
      <c r="AR9" s="19">
        <f t="shared" si="5"/>
        <v>0</v>
      </c>
      <c r="AS9" s="19">
        <f t="shared" si="5"/>
        <v>33</v>
      </c>
      <c r="AT9" s="19">
        <f t="shared" si="5"/>
        <v>0</v>
      </c>
      <c r="AU9" s="19">
        <f t="shared" si="5"/>
        <v>30</v>
      </c>
      <c r="AV9" s="19">
        <f t="shared" si="5"/>
        <v>0</v>
      </c>
      <c r="AW9" s="19">
        <f t="shared" si="5"/>
        <v>0</v>
      </c>
      <c r="AX9" s="19">
        <f t="shared" si="5"/>
        <v>0</v>
      </c>
      <c r="AY9" s="19">
        <f t="shared" si="5"/>
        <v>1403</v>
      </c>
      <c r="AZ9" s="19">
        <f t="shared" si="5"/>
        <v>0</v>
      </c>
      <c r="BA9" s="19">
        <f t="shared" si="5"/>
        <v>987</v>
      </c>
      <c r="BB9" s="19">
        <f t="shared" si="5"/>
        <v>0</v>
      </c>
      <c r="BC9" s="19">
        <f t="shared" si="5"/>
        <v>-70</v>
      </c>
      <c r="BD9" s="19">
        <f t="shared" si="5"/>
        <v>0</v>
      </c>
      <c r="BE9" s="19">
        <f t="shared" si="5"/>
        <v>-21</v>
      </c>
      <c r="BF9" s="19">
        <f t="shared" si="5"/>
        <v>0</v>
      </c>
    </row>
    <row r="10" spans="1:58" ht="16.5" customHeight="1">
      <c r="A10" s="19"/>
      <c r="B10" s="19"/>
      <c r="C10" s="19"/>
      <c r="D10" s="19"/>
      <c r="E10" s="19"/>
      <c r="F10" s="19"/>
      <c r="G10" s="19"/>
      <c r="H10" s="19"/>
      <c r="I10" s="19">
        <f aca="true" t="shared" si="6" ref="I10:L11">+A10-E10</f>
        <v>0</v>
      </c>
      <c r="J10" s="19">
        <f t="shared" si="6"/>
        <v>0</v>
      </c>
      <c r="K10" s="19">
        <f t="shared" si="6"/>
        <v>0</v>
      </c>
      <c r="L10" s="19">
        <f t="shared" si="6"/>
        <v>0</v>
      </c>
      <c r="M10" s="26" t="s">
        <v>48</v>
      </c>
      <c r="N10" s="19">
        <v>451</v>
      </c>
      <c r="O10" s="19"/>
      <c r="P10" s="19">
        <v>885</v>
      </c>
      <c r="Q10" s="19"/>
      <c r="R10" s="19">
        <v>661</v>
      </c>
      <c r="S10" s="19"/>
      <c r="T10" s="19">
        <v>33</v>
      </c>
      <c r="U10" s="19"/>
      <c r="V10" s="19">
        <v>185</v>
      </c>
      <c r="W10" s="19"/>
      <c r="X10" s="19">
        <v>44</v>
      </c>
      <c r="Y10" s="19">
        <v>0</v>
      </c>
      <c r="Z10" s="19">
        <v>28</v>
      </c>
      <c r="AA10" s="19"/>
      <c r="AB10" s="19">
        <v>4</v>
      </c>
      <c r="AC10" s="19"/>
      <c r="AD10" s="26" t="s">
        <v>48</v>
      </c>
      <c r="AE10" s="19">
        <f>N10+R10+V10+Z10</f>
        <v>1325</v>
      </c>
      <c r="AF10" s="19">
        <f aca="true" t="shared" si="7" ref="AF10:AH11">O10+S10+W10+AA10</f>
        <v>0</v>
      </c>
      <c r="AG10" s="19">
        <f t="shared" si="7"/>
        <v>966</v>
      </c>
      <c r="AH10" s="19">
        <f t="shared" si="7"/>
        <v>0</v>
      </c>
      <c r="AI10" s="19">
        <v>495</v>
      </c>
      <c r="AJ10" s="19"/>
      <c r="AK10" s="19">
        <v>897</v>
      </c>
      <c r="AL10" s="19"/>
      <c r="AM10" s="19">
        <v>679</v>
      </c>
      <c r="AN10" s="19"/>
      <c r="AO10" s="19">
        <v>57</v>
      </c>
      <c r="AP10" s="19"/>
      <c r="AQ10" s="19">
        <v>187</v>
      </c>
      <c r="AR10" s="19"/>
      <c r="AS10" s="19">
        <v>33</v>
      </c>
      <c r="AT10" s="19"/>
      <c r="AU10" s="19">
        <v>30</v>
      </c>
      <c r="AV10" s="19"/>
      <c r="AW10" s="19"/>
      <c r="AX10" s="19"/>
      <c r="AY10" s="19">
        <f aca="true" t="shared" si="8" ref="AY10:BB11">AI10+AM10+AQ10+AU10</f>
        <v>1391</v>
      </c>
      <c r="AZ10" s="19">
        <f t="shared" si="8"/>
        <v>0</v>
      </c>
      <c r="BA10" s="19">
        <f t="shared" si="8"/>
        <v>987</v>
      </c>
      <c r="BB10" s="19">
        <f t="shared" si="8"/>
        <v>0</v>
      </c>
      <c r="BC10" s="19">
        <f aca="true" t="shared" si="9" ref="BC10:BF11">AE10-AY10</f>
        <v>-66</v>
      </c>
      <c r="BD10" s="19">
        <f t="shared" si="9"/>
        <v>0</v>
      </c>
      <c r="BE10" s="19">
        <f t="shared" si="9"/>
        <v>-21</v>
      </c>
      <c r="BF10" s="19">
        <f t="shared" si="9"/>
        <v>0</v>
      </c>
    </row>
    <row r="11" spans="1:58" ht="16.5" customHeight="1">
      <c r="A11" s="19"/>
      <c r="B11" s="19"/>
      <c r="C11" s="19"/>
      <c r="D11" s="19"/>
      <c r="E11" s="19"/>
      <c r="F11" s="19"/>
      <c r="G11" s="19"/>
      <c r="H11" s="19"/>
      <c r="I11" s="19">
        <f t="shared" si="6"/>
        <v>0</v>
      </c>
      <c r="J11" s="19">
        <f t="shared" si="6"/>
        <v>0</v>
      </c>
      <c r="K11" s="19">
        <f t="shared" si="6"/>
        <v>0</v>
      </c>
      <c r="L11" s="19">
        <f t="shared" si="6"/>
        <v>0</v>
      </c>
      <c r="M11" s="26" t="s">
        <v>49</v>
      </c>
      <c r="N11" s="19"/>
      <c r="O11" s="19"/>
      <c r="P11" s="19"/>
      <c r="Q11" s="19"/>
      <c r="R11" s="19">
        <v>8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6" t="s">
        <v>49</v>
      </c>
      <c r="AE11" s="19">
        <f>N11+R11+V11+Z11</f>
        <v>8</v>
      </c>
      <c r="AF11" s="19">
        <f t="shared" si="7"/>
        <v>0</v>
      </c>
      <c r="AG11" s="19">
        <f t="shared" si="7"/>
        <v>0</v>
      </c>
      <c r="AH11" s="19">
        <f t="shared" si="7"/>
        <v>0</v>
      </c>
      <c r="AI11" s="19"/>
      <c r="AJ11" s="19"/>
      <c r="AK11" s="19"/>
      <c r="AL11" s="19"/>
      <c r="AM11" s="19">
        <v>12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>
        <f t="shared" si="8"/>
        <v>12</v>
      </c>
      <c r="AZ11" s="19">
        <f t="shared" si="8"/>
        <v>0</v>
      </c>
      <c r="BA11" s="19">
        <f t="shared" si="8"/>
        <v>0</v>
      </c>
      <c r="BB11" s="19">
        <f t="shared" si="8"/>
        <v>0</v>
      </c>
      <c r="BC11" s="19">
        <f t="shared" si="9"/>
        <v>-4</v>
      </c>
      <c r="BD11" s="19">
        <f t="shared" si="9"/>
        <v>0</v>
      </c>
      <c r="BE11" s="19">
        <f t="shared" si="9"/>
        <v>0</v>
      </c>
      <c r="BF11" s="19">
        <f t="shared" si="9"/>
        <v>0</v>
      </c>
    </row>
    <row r="12" spans="1:58" s="28" customFormat="1" ht="16.5" customHeight="1">
      <c r="A12" s="24">
        <f aca="true" t="shared" si="10" ref="A12:L12">A13+SUM(A16:A19)+A22+SUM(A25:A28)</f>
        <v>1926</v>
      </c>
      <c r="B12" s="24">
        <f t="shared" si="10"/>
        <v>2</v>
      </c>
      <c r="C12" s="24">
        <f t="shared" si="10"/>
        <v>2703</v>
      </c>
      <c r="D12" s="24">
        <f t="shared" si="10"/>
        <v>0</v>
      </c>
      <c r="E12" s="24">
        <f t="shared" si="10"/>
        <v>2259</v>
      </c>
      <c r="F12" s="24">
        <f t="shared" si="10"/>
        <v>0</v>
      </c>
      <c r="G12" s="24">
        <f t="shared" si="10"/>
        <v>2974</v>
      </c>
      <c r="H12" s="24">
        <f t="shared" si="10"/>
        <v>0</v>
      </c>
      <c r="I12" s="24">
        <f t="shared" si="10"/>
        <v>-333</v>
      </c>
      <c r="J12" s="24">
        <f t="shared" si="10"/>
        <v>2</v>
      </c>
      <c r="K12" s="24">
        <f t="shared" si="10"/>
        <v>-271</v>
      </c>
      <c r="L12" s="24">
        <f t="shared" si="10"/>
        <v>0</v>
      </c>
      <c r="M12" s="27" t="s">
        <v>24</v>
      </c>
      <c r="N12" s="24">
        <f aca="true" t="shared" si="11" ref="N12:AC12">N13+SUM(N16:N19)+N22+SUM(N25:N28)</f>
        <v>13104</v>
      </c>
      <c r="O12" s="24">
        <f t="shared" si="11"/>
        <v>88</v>
      </c>
      <c r="P12" s="24">
        <f t="shared" si="11"/>
        <v>27395</v>
      </c>
      <c r="Q12" s="24">
        <f t="shared" si="11"/>
        <v>90</v>
      </c>
      <c r="R12" s="24">
        <f t="shared" si="11"/>
        <v>3570</v>
      </c>
      <c r="S12" s="24">
        <f t="shared" si="11"/>
        <v>60</v>
      </c>
      <c r="T12" s="24">
        <f t="shared" si="11"/>
        <v>8504</v>
      </c>
      <c r="U12" s="24">
        <f t="shared" si="11"/>
        <v>37</v>
      </c>
      <c r="V12" s="24">
        <f t="shared" si="11"/>
        <v>1939</v>
      </c>
      <c r="W12" s="24">
        <f t="shared" si="11"/>
        <v>29</v>
      </c>
      <c r="X12" s="24">
        <f t="shared" si="11"/>
        <v>751</v>
      </c>
      <c r="Y12" s="24">
        <f t="shared" si="11"/>
        <v>27</v>
      </c>
      <c r="Z12" s="24">
        <f t="shared" si="11"/>
        <v>997</v>
      </c>
      <c r="AA12" s="24">
        <f t="shared" si="11"/>
        <v>6</v>
      </c>
      <c r="AB12" s="24">
        <f t="shared" si="11"/>
        <v>969</v>
      </c>
      <c r="AC12" s="24">
        <f t="shared" si="11"/>
        <v>40</v>
      </c>
      <c r="AD12" s="47" t="s">
        <v>65</v>
      </c>
      <c r="AE12" s="39">
        <f aca="true" t="shared" si="12" ref="AE12:BF12">AE13+SUM(AE16:AE19)+AE22+SUM(AE25:AE28)</f>
        <v>19610</v>
      </c>
      <c r="AF12" s="39">
        <f t="shared" si="12"/>
        <v>183</v>
      </c>
      <c r="AG12" s="39">
        <f t="shared" si="12"/>
        <v>37619</v>
      </c>
      <c r="AH12" s="39">
        <f t="shared" si="12"/>
        <v>194</v>
      </c>
      <c r="AI12" s="39">
        <f t="shared" si="12"/>
        <v>14729</v>
      </c>
      <c r="AJ12" s="39">
        <f t="shared" si="12"/>
        <v>252</v>
      </c>
      <c r="AK12" s="39">
        <f t="shared" si="12"/>
        <v>28935</v>
      </c>
      <c r="AL12" s="39">
        <f t="shared" si="12"/>
        <v>109</v>
      </c>
      <c r="AM12" s="39">
        <f t="shared" si="12"/>
        <v>3756</v>
      </c>
      <c r="AN12" s="39">
        <f t="shared" si="12"/>
        <v>74</v>
      </c>
      <c r="AO12" s="39">
        <f t="shared" si="12"/>
        <v>9162</v>
      </c>
      <c r="AP12" s="39">
        <f t="shared" si="12"/>
        <v>13</v>
      </c>
      <c r="AQ12" s="39">
        <f t="shared" si="12"/>
        <v>2234</v>
      </c>
      <c r="AR12" s="39">
        <f t="shared" si="12"/>
        <v>23</v>
      </c>
      <c r="AS12" s="39">
        <f t="shared" si="12"/>
        <v>820</v>
      </c>
      <c r="AT12" s="39">
        <f t="shared" si="12"/>
        <v>35</v>
      </c>
      <c r="AU12" s="39">
        <f t="shared" si="12"/>
        <v>1321</v>
      </c>
      <c r="AV12" s="39">
        <f t="shared" si="12"/>
        <v>6</v>
      </c>
      <c r="AW12" s="39">
        <f t="shared" si="12"/>
        <v>1252</v>
      </c>
      <c r="AX12" s="39">
        <f t="shared" si="12"/>
        <v>52</v>
      </c>
      <c r="AY12" s="39">
        <f t="shared" si="12"/>
        <v>22040</v>
      </c>
      <c r="AZ12" s="39">
        <f t="shared" si="12"/>
        <v>355</v>
      </c>
      <c r="BA12" s="39">
        <f t="shared" si="12"/>
        <v>40169</v>
      </c>
      <c r="BB12" s="39">
        <f t="shared" si="12"/>
        <v>209</v>
      </c>
      <c r="BC12" s="39">
        <f t="shared" si="12"/>
        <v>-2430</v>
      </c>
      <c r="BD12" s="39">
        <f t="shared" si="12"/>
        <v>-172</v>
      </c>
      <c r="BE12" s="39">
        <f t="shared" si="12"/>
        <v>-2550</v>
      </c>
      <c r="BF12" s="39">
        <f t="shared" si="12"/>
        <v>-15</v>
      </c>
    </row>
    <row r="13" spans="1:58" ht="16.5" customHeight="1">
      <c r="A13" s="19">
        <f aca="true" t="shared" si="13" ref="A13:K13">A14+A15</f>
        <v>0</v>
      </c>
      <c r="B13" s="19">
        <f t="shared" si="13"/>
        <v>0</v>
      </c>
      <c r="C13" s="19">
        <f t="shared" si="13"/>
        <v>0</v>
      </c>
      <c r="D13" s="19">
        <f t="shared" si="13"/>
        <v>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0</v>
      </c>
      <c r="L13" s="19">
        <f aca="true" t="shared" si="14" ref="L13:L18">+D13-H13</f>
        <v>0</v>
      </c>
      <c r="M13" s="25" t="s">
        <v>25</v>
      </c>
      <c r="N13" s="19">
        <f aca="true" t="shared" si="15" ref="N13:AC13">N14+N15</f>
        <v>1036</v>
      </c>
      <c r="O13" s="19">
        <f t="shared" si="15"/>
        <v>13</v>
      </c>
      <c r="P13" s="19">
        <f t="shared" si="15"/>
        <v>2454</v>
      </c>
      <c r="Q13" s="19">
        <f t="shared" si="15"/>
        <v>70</v>
      </c>
      <c r="R13" s="19">
        <f t="shared" si="15"/>
        <v>438</v>
      </c>
      <c r="S13" s="19">
        <f t="shared" si="15"/>
        <v>42</v>
      </c>
      <c r="T13" s="19">
        <f t="shared" si="15"/>
        <v>560</v>
      </c>
      <c r="U13" s="19">
        <f t="shared" si="15"/>
        <v>35</v>
      </c>
      <c r="V13" s="19">
        <f t="shared" si="15"/>
        <v>358</v>
      </c>
      <c r="W13" s="19">
        <f t="shared" si="15"/>
        <v>3</v>
      </c>
      <c r="X13" s="19">
        <f t="shared" si="15"/>
        <v>47</v>
      </c>
      <c r="Y13" s="19">
        <f t="shared" si="15"/>
        <v>27</v>
      </c>
      <c r="Z13" s="19">
        <f t="shared" si="15"/>
        <v>125</v>
      </c>
      <c r="AA13" s="19">
        <f t="shared" si="15"/>
        <v>0</v>
      </c>
      <c r="AB13" s="19">
        <f t="shared" si="15"/>
        <v>329</v>
      </c>
      <c r="AC13" s="19">
        <f t="shared" si="15"/>
        <v>2</v>
      </c>
      <c r="AD13" s="25" t="s">
        <v>25</v>
      </c>
      <c r="AE13" s="19">
        <f>AE14+AE15</f>
        <v>1957</v>
      </c>
      <c r="AF13" s="19">
        <f aca="true" t="shared" si="16" ref="AF13:BF13">AF14+AF15</f>
        <v>58</v>
      </c>
      <c r="AG13" s="19">
        <f t="shared" si="16"/>
        <v>3390</v>
      </c>
      <c r="AH13" s="19">
        <f t="shared" si="16"/>
        <v>134</v>
      </c>
      <c r="AI13" s="19">
        <f t="shared" si="16"/>
        <v>1559</v>
      </c>
      <c r="AJ13" s="19">
        <f t="shared" si="16"/>
        <v>8</v>
      </c>
      <c r="AK13" s="19">
        <f t="shared" si="16"/>
        <v>3057</v>
      </c>
      <c r="AL13" s="19">
        <f t="shared" si="16"/>
        <v>82</v>
      </c>
      <c r="AM13" s="19">
        <f t="shared" si="16"/>
        <v>315</v>
      </c>
      <c r="AN13" s="19">
        <f t="shared" si="16"/>
        <v>47</v>
      </c>
      <c r="AO13" s="19">
        <f t="shared" si="16"/>
        <v>511</v>
      </c>
      <c r="AP13" s="19">
        <f t="shared" si="16"/>
        <v>11</v>
      </c>
      <c r="AQ13" s="19">
        <f t="shared" si="16"/>
        <v>487</v>
      </c>
      <c r="AR13" s="19">
        <f t="shared" si="16"/>
        <v>0</v>
      </c>
      <c r="AS13" s="19">
        <f t="shared" si="16"/>
        <v>35</v>
      </c>
      <c r="AT13" s="19">
        <f t="shared" si="16"/>
        <v>35</v>
      </c>
      <c r="AU13" s="19">
        <f t="shared" si="16"/>
        <v>410</v>
      </c>
      <c r="AV13" s="19">
        <f t="shared" si="16"/>
        <v>0</v>
      </c>
      <c r="AW13" s="19">
        <f t="shared" si="16"/>
        <v>641</v>
      </c>
      <c r="AX13" s="19">
        <f t="shared" si="16"/>
        <v>9</v>
      </c>
      <c r="AY13" s="19">
        <f t="shared" si="16"/>
        <v>2771</v>
      </c>
      <c r="AZ13" s="19">
        <f t="shared" si="16"/>
        <v>55</v>
      </c>
      <c r="BA13" s="19">
        <f t="shared" si="16"/>
        <v>4244</v>
      </c>
      <c r="BB13" s="19">
        <f t="shared" si="16"/>
        <v>137</v>
      </c>
      <c r="BC13" s="19">
        <f t="shared" si="16"/>
        <v>-814</v>
      </c>
      <c r="BD13" s="19">
        <f t="shared" si="16"/>
        <v>3</v>
      </c>
      <c r="BE13" s="19">
        <f t="shared" si="16"/>
        <v>-854</v>
      </c>
      <c r="BF13" s="19">
        <f t="shared" si="16"/>
        <v>-3</v>
      </c>
    </row>
    <row r="14" spans="1:58" ht="16.5" customHeight="1">
      <c r="A14" s="19">
        <v>0</v>
      </c>
      <c r="B14" s="19">
        <v>0</v>
      </c>
      <c r="C14" s="19">
        <v>0</v>
      </c>
      <c r="D14" s="19"/>
      <c r="E14" s="19">
        <v>0</v>
      </c>
      <c r="F14" s="19"/>
      <c r="G14" s="19">
        <v>0</v>
      </c>
      <c r="H14" s="19"/>
      <c r="I14" s="19">
        <f>A14-E14</f>
        <v>0</v>
      </c>
      <c r="J14" s="19">
        <f>B14-F14</f>
        <v>0</v>
      </c>
      <c r="K14" s="19">
        <f aca="true" t="shared" si="17" ref="I14:K18">+C14-G14</f>
        <v>0</v>
      </c>
      <c r="L14" s="19">
        <f t="shared" si="14"/>
        <v>0</v>
      </c>
      <c r="M14" s="26" t="s">
        <v>48</v>
      </c>
      <c r="N14" s="19">
        <v>1024</v>
      </c>
      <c r="O14" s="19">
        <v>13</v>
      </c>
      <c r="P14" s="19">
        <v>2454</v>
      </c>
      <c r="Q14" s="19">
        <v>70</v>
      </c>
      <c r="R14" s="19">
        <v>438</v>
      </c>
      <c r="S14" s="19">
        <v>42</v>
      </c>
      <c r="T14" s="19">
        <v>560</v>
      </c>
      <c r="U14" s="19">
        <v>35</v>
      </c>
      <c r="V14" s="19">
        <v>355</v>
      </c>
      <c r="W14" s="19">
        <v>3</v>
      </c>
      <c r="X14" s="19">
        <v>47</v>
      </c>
      <c r="Y14" s="19">
        <v>27</v>
      </c>
      <c r="Z14" s="19">
        <v>125</v>
      </c>
      <c r="AA14" s="19"/>
      <c r="AB14" s="19">
        <v>329</v>
      </c>
      <c r="AC14" s="19">
        <v>2</v>
      </c>
      <c r="AD14" s="26" t="s">
        <v>48</v>
      </c>
      <c r="AE14" s="19">
        <f>N14+R14+V14+Z14</f>
        <v>1942</v>
      </c>
      <c r="AF14" s="19">
        <f>O14+S14+W14+AA14</f>
        <v>58</v>
      </c>
      <c r="AG14" s="19">
        <f>P14+T14+X14+AB14</f>
        <v>3390</v>
      </c>
      <c r="AH14" s="19">
        <f>Q14+U14+Y14+AC14</f>
        <v>134</v>
      </c>
      <c r="AI14" s="19">
        <v>1539</v>
      </c>
      <c r="AJ14" s="19">
        <v>8</v>
      </c>
      <c r="AK14" s="19">
        <v>3057</v>
      </c>
      <c r="AL14" s="19">
        <v>82</v>
      </c>
      <c r="AM14" s="19">
        <v>315</v>
      </c>
      <c r="AN14" s="19">
        <v>46</v>
      </c>
      <c r="AO14" s="19">
        <v>511</v>
      </c>
      <c r="AP14" s="19">
        <v>11</v>
      </c>
      <c r="AQ14" s="19">
        <v>484</v>
      </c>
      <c r="AR14" s="19"/>
      <c r="AS14" s="19">
        <v>35</v>
      </c>
      <c r="AT14" s="19">
        <v>35</v>
      </c>
      <c r="AU14" s="19">
        <v>410</v>
      </c>
      <c r="AV14" s="19">
        <v>0</v>
      </c>
      <c r="AW14" s="19">
        <v>641</v>
      </c>
      <c r="AX14" s="19">
        <v>9</v>
      </c>
      <c r="AY14" s="19">
        <f>AI14+AM14+AQ14+AU14</f>
        <v>2748</v>
      </c>
      <c r="AZ14" s="19">
        <f>AJ14+AN14+AR14+AV14</f>
        <v>54</v>
      </c>
      <c r="BA14" s="19">
        <f>AK14+AO14+AS14+AW14</f>
        <v>4244</v>
      </c>
      <c r="BB14" s="19">
        <f>AL14+AP14+AT14+AX14</f>
        <v>137</v>
      </c>
      <c r="BC14" s="19">
        <f aca="true" t="shared" si="18" ref="BC14:BF18">AE14-AY14</f>
        <v>-806</v>
      </c>
      <c r="BD14" s="19">
        <f t="shared" si="18"/>
        <v>4</v>
      </c>
      <c r="BE14" s="19">
        <f t="shared" si="18"/>
        <v>-854</v>
      </c>
      <c r="BF14" s="19">
        <f t="shared" si="18"/>
        <v>-3</v>
      </c>
    </row>
    <row r="15" spans="1:58" ht="16.5" customHeight="1">
      <c r="A15" s="19"/>
      <c r="B15" s="19"/>
      <c r="C15" s="19"/>
      <c r="D15" s="19"/>
      <c r="E15" s="19"/>
      <c r="F15" s="19"/>
      <c r="G15" s="19"/>
      <c r="H15" s="19"/>
      <c r="I15" s="19">
        <f t="shared" si="17"/>
        <v>0</v>
      </c>
      <c r="J15" s="19">
        <f t="shared" si="17"/>
        <v>0</v>
      </c>
      <c r="K15" s="19">
        <f t="shared" si="17"/>
        <v>0</v>
      </c>
      <c r="L15" s="19">
        <f t="shared" si="14"/>
        <v>0</v>
      </c>
      <c r="M15" s="26" t="s">
        <v>49</v>
      </c>
      <c r="N15" s="19">
        <v>12</v>
      </c>
      <c r="O15" s="19"/>
      <c r="P15" s="19"/>
      <c r="Q15" s="19"/>
      <c r="R15" s="19"/>
      <c r="S15" s="19">
        <v>0</v>
      </c>
      <c r="T15" s="19"/>
      <c r="U15" s="19">
        <v>0</v>
      </c>
      <c r="V15" s="19">
        <v>3</v>
      </c>
      <c r="W15" s="19"/>
      <c r="X15" s="19"/>
      <c r="Y15" s="19"/>
      <c r="Z15" s="19"/>
      <c r="AA15" s="19"/>
      <c r="AB15" s="19"/>
      <c r="AC15" s="19"/>
      <c r="AD15" s="26" t="s">
        <v>49</v>
      </c>
      <c r="AE15" s="19">
        <f>N15+R15+V15+Z15</f>
        <v>15</v>
      </c>
      <c r="AF15" s="19">
        <f aca="true" t="shared" si="19" ref="AF15:AH30">O15+S15+W15+AA15</f>
        <v>0</v>
      </c>
      <c r="AG15" s="19">
        <f t="shared" si="19"/>
        <v>0</v>
      </c>
      <c r="AH15" s="19">
        <f t="shared" si="19"/>
        <v>0</v>
      </c>
      <c r="AI15" s="19">
        <v>20</v>
      </c>
      <c r="AJ15" s="19"/>
      <c r="AK15" s="19"/>
      <c r="AL15" s="19"/>
      <c r="AM15" s="19">
        <v>0</v>
      </c>
      <c r="AN15" s="19">
        <v>1</v>
      </c>
      <c r="AO15" s="19"/>
      <c r="AP15" s="19"/>
      <c r="AQ15" s="19">
        <v>3</v>
      </c>
      <c r="AR15" s="19"/>
      <c r="AS15" s="19"/>
      <c r="AT15" s="19"/>
      <c r="AU15" s="19"/>
      <c r="AV15" s="19"/>
      <c r="AW15" s="19"/>
      <c r="AX15" s="19"/>
      <c r="AY15" s="19">
        <f aca="true" t="shared" si="20" ref="AY15:BA18">AI15+AM15+AQ15+AU15</f>
        <v>23</v>
      </c>
      <c r="AZ15" s="19">
        <f t="shared" si="20"/>
        <v>1</v>
      </c>
      <c r="BA15" s="19">
        <f t="shared" si="20"/>
        <v>0</v>
      </c>
      <c r="BB15" s="19">
        <v>0</v>
      </c>
      <c r="BC15" s="19">
        <f t="shared" si="18"/>
        <v>-8</v>
      </c>
      <c r="BD15" s="19">
        <f t="shared" si="18"/>
        <v>-1</v>
      </c>
      <c r="BE15" s="19">
        <f t="shared" si="18"/>
        <v>0</v>
      </c>
      <c r="BF15" s="19">
        <f t="shared" si="18"/>
        <v>0</v>
      </c>
    </row>
    <row r="16" spans="1:58" ht="16.5" customHeight="1">
      <c r="A16" s="19">
        <v>3</v>
      </c>
      <c r="B16" s="19"/>
      <c r="C16" s="19">
        <v>1</v>
      </c>
      <c r="D16" s="19"/>
      <c r="E16" s="19"/>
      <c r="F16" s="19"/>
      <c r="G16" s="19"/>
      <c r="H16" s="19"/>
      <c r="I16" s="19">
        <f t="shared" si="17"/>
        <v>3</v>
      </c>
      <c r="J16" s="19">
        <f t="shared" si="17"/>
        <v>0</v>
      </c>
      <c r="K16" s="19">
        <f t="shared" si="17"/>
        <v>1</v>
      </c>
      <c r="L16" s="19">
        <f t="shared" si="14"/>
        <v>0</v>
      </c>
      <c r="M16" s="29" t="s">
        <v>26</v>
      </c>
      <c r="N16" s="19">
        <v>57</v>
      </c>
      <c r="O16" s="19"/>
      <c r="P16" s="19">
        <v>210</v>
      </c>
      <c r="Q16" s="19"/>
      <c r="R16" s="19">
        <v>64</v>
      </c>
      <c r="S16" s="19"/>
      <c r="T16" s="19">
        <v>76</v>
      </c>
      <c r="U16" s="19"/>
      <c r="V16" s="19">
        <v>57</v>
      </c>
      <c r="W16" s="19"/>
      <c r="X16" s="19">
        <v>39</v>
      </c>
      <c r="Y16" s="19"/>
      <c r="Z16" s="19">
        <v>18</v>
      </c>
      <c r="AA16" s="19"/>
      <c r="AB16" s="19">
        <v>7</v>
      </c>
      <c r="AC16" s="19"/>
      <c r="AD16" s="29" t="s">
        <v>26</v>
      </c>
      <c r="AE16" s="19">
        <f>N16+R16+V16+Z16</f>
        <v>196</v>
      </c>
      <c r="AF16" s="19">
        <f t="shared" si="19"/>
        <v>0</v>
      </c>
      <c r="AG16" s="19">
        <f t="shared" si="19"/>
        <v>332</v>
      </c>
      <c r="AH16" s="19">
        <f t="shared" si="19"/>
        <v>0</v>
      </c>
      <c r="AI16" s="19">
        <v>122</v>
      </c>
      <c r="AJ16" s="19"/>
      <c r="AK16" s="19">
        <v>268</v>
      </c>
      <c r="AL16" s="19"/>
      <c r="AM16" s="19">
        <v>47</v>
      </c>
      <c r="AN16" s="19"/>
      <c r="AO16" s="19">
        <v>53</v>
      </c>
      <c r="AP16" s="19"/>
      <c r="AQ16" s="19">
        <v>70</v>
      </c>
      <c r="AR16" s="19"/>
      <c r="AS16" s="19">
        <v>33</v>
      </c>
      <c r="AT16" s="19"/>
      <c r="AU16" s="19">
        <v>14</v>
      </c>
      <c r="AV16" s="19"/>
      <c r="AW16" s="19">
        <v>5</v>
      </c>
      <c r="AX16" s="19"/>
      <c r="AY16" s="19">
        <f t="shared" si="20"/>
        <v>253</v>
      </c>
      <c r="AZ16" s="19">
        <f t="shared" si="20"/>
        <v>0</v>
      </c>
      <c r="BA16" s="19">
        <f t="shared" si="20"/>
        <v>359</v>
      </c>
      <c r="BB16" s="19">
        <f>AL16+AP16+AT16+AX16</f>
        <v>0</v>
      </c>
      <c r="BC16" s="19">
        <f t="shared" si="18"/>
        <v>-57</v>
      </c>
      <c r="BD16" s="19">
        <f t="shared" si="18"/>
        <v>0</v>
      </c>
      <c r="BE16" s="19">
        <f t="shared" si="18"/>
        <v>-27</v>
      </c>
      <c r="BF16" s="19">
        <f t="shared" si="18"/>
        <v>0</v>
      </c>
    </row>
    <row r="17" spans="1:58" ht="16.5" customHeight="1">
      <c r="A17" s="19"/>
      <c r="B17" s="19"/>
      <c r="C17" s="19"/>
      <c r="D17" s="19"/>
      <c r="E17" s="19"/>
      <c r="F17" s="19"/>
      <c r="G17" s="19"/>
      <c r="H17" s="19"/>
      <c r="I17" s="19">
        <f t="shared" si="17"/>
        <v>0</v>
      </c>
      <c r="J17" s="19">
        <f t="shared" si="17"/>
        <v>0</v>
      </c>
      <c r="K17" s="19">
        <f t="shared" si="17"/>
        <v>0</v>
      </c>
      <c r="L17" s="19">
        <f t="shared" si="14"/>
        <v>0</v>
      </c>
      <c r="M17" s="29" t="s">
        <v>27</v>
      </c>
      <c r="N17" s="19">
        <v>422</v>
      </c>
      <c r="O17" s="19"/>
      <c r="P17" s="19">
        <v>2157</v>
      </c>
      <c r="Q17" s="19"/>
      <c r="R17" s="19">
        <v>27</v>
      </c>
      <c r="S17" s="19"/>
      <c r="T17" s="19">
        <v>2</v>
      </c>
      <c r="U17" s="19"/>
      <c r="V17" s="19">
        <v>59</v>
      </c>
      <c r="W17" s="19"/>
      <c r="X17" s="19">
        <v>32</v>
      </c>
      <c r="Y17" s="19">
        <v>0</v>
      </c>
      <c r="Z17" s="19">
        <f>17+3</f>
        <v>20</v>
      </c>
      <c r="AA17" s="19"/>
      <c r="AB17" s="19">
        <f>3+5</f>
        <v>8</v>
      </c>
      <c r="AC17" s="19"/>
      <c r="AD17" s="29" t="s">
        <v>27</v>
      </c>
      <c r="AE17" s="19">
        <f>N17+R17+V17+Z17</f>
        <v>528</v>
      </c>
      <c r="AF17" s="19">
        <f t="shared" si="19"/>
        <v>0</v>
      </c>
      <c r="AG17" s="19">
        <f t="shared" si="19"/>
        <v>2199</v>
      </c>
      <c r="AH17" s="19">
        <f t="shared" si="19"/>
        <v>0</v>
      </c>
      <c r="AI17" s="19">
        <v>372</v>
      </c>
      <c r="AJ17" s="19"/>
      <c r="AK17" s="19">
        <v>2229</v>
      </c>
      <c r="AL17" s="19"/>
      <c r="AM17" s="19">
        <v>29</v>
      </c>
      <c r="AN17" s="19"/>
      <c r="AO17" s="19"/>
      <c r="AP17" s="19"/>
      <c r="AQ17" s="19">
        <v>65</v>
      </c>
      <c r="AR17" s="19"/>
      <c r="AS17" s="19">
        <v>29</v>
      </c>
      <c r="AT17" s="19"/>
      <c r="AU17" s="19">
        <f>17+2</f>
        <v>19</v>
      </c>
      <c r="AV17" s="19"/>
      <c r="AW17" s="19">
        <v>10</v>
      </c>
      <c r="AX17" s="19"/>
      <c r="AY17" s="19">
        <f t="shared" si="20"/>
        <v>485</v>
      </c>
      <c r="AZ17" s="19">
        <f t="shared" si="20"/>
        <v>0</v>
      </c>
      <c r="BA17" s="19">
        <f t="shared" si="20"/>
        <v>2268</v>
      </c>
      <c r="BB17" s="19">
        <f>AL17+AP17+AT17+AX17</f>
        <v>0</v>
      </c>
      <c r="BC17" s="19">
        <f t="shared" si="18"/>
        <v>43</v>
      </c>
      <c r="BD17" s="19">
        <f t="shared" si="18"/>
        <v>0</v>
      </c>
      <c r="BE17" s="19">
        <f t="shared" si="18"/>
        <v>-69</v>
      </c>
      <c r="BF17" s="19">
        <f t="shared" si="18"/>
        <v>0</v>
      </c>
    </row>
    <row r="18" spans="1:58" ht="16.5" customHeight="1">
      <c r="A18" s="19">
        <v>91</v>
      </c>
      <c r="B18" s="19"/>
      <c r="C18" s="19">
        <v>54</v>
      </c>
      <c r="D18" s="19"/>
      <c r="E18" s="19">
        <v>119</v>
      </c>
      <c r="F18" s="19">
        <v>0</v>
      </c>
      <c r="G18" s="19">
        <v>114</v>
      </c>
      <c r="H18" s="19"/>
      <c r="I18" s="19">
        <f t="shared" si="17"/>
        <v>-28</v>
      </c>
      <c r="J18" s="19">
        <f t="shared" si="17"/>
        <v>0</v>
      </c>
      <c r="K18" s="19">
        <f t="shared" si="17"/>
        <v>-60</v>
      </c>
      <c r="L18" s="19">
        <f t="shared" si="14"/>
        <v>0</v>
      </c>
      <c r="M18" s="29" t="s">
        <v>28</v>
      </c>
      <c r="N18" s="19">
        <v>1896</v>
      </c>
      <c r="O18" s="19">
        <v>73</v>
      </c>
      <c r="P18" s="19">
        <v>6508</v>
      </c>
      <c r="Q18" s="19">
        <v>20</v>
      </c>
      <c r="R18" s="19">
        <v>984</v>
      </c>
      <c r="S18" s="19">
        <v>10</v>
      </c>
      <c r="T18" s="19">
        <v>5089</v>
      </c>
      <c r="U18" s="19">
        <v>2</v>
      </c>
      <c r="V18" s="19">
        <v>433</v>
      </c>
      <c r="W18" s="19">
        <v>7</v>
      </c>
      <c r="X18" s="19">
        <v>177</v>
      </c>
      <c r="Y18" s="19">
        <v>0</v>
      </c>
      <c r="Z18" s="19">
        <v>328</v>
      </c>
      <c r="AA18" s="19">
        <v>4</v>
      </c>
      <c r="AB18" s="19">
        <v>301</v>
      </c>
      <c r="AC18" s="19"/>
      <c r="AD18" s="29" t="s">
        <v>28</v>
      </c>
      <c r="AE18" s="19">
        <f aca="true" t="shared" si="21" ref="AE18:AE84">N18+R18+V18+Z18</f>
        <v>3641</v>
      </c>
      <c r="AF18" s="19">
        <f t="shared" si="19"/>
        <v>94</v>
      </c>
      <c r="AG18" s="19">
        <f t="shared" si="19"/>
        <v>12075</v>
      </c>
      <c r="AH18" s="19">
        <f t="shared" si="19"/>
        <v>22</v>
      </c>
      <c r="AI18" s="19">
        <v>1999</v>
      </c>
      <c r="AJ18" s="19">
        <v>117</v>
      </c>
      <c r="AK18" s="19">
        <v>6762</v>
      </c>
      <c r="AL18" s="19">
        <v>27</v>
      </c>
      <c r="AM18" s="19">
        <v>1065</v>
      </c>
      <c r="AN18" s="19">
        <v>11</v>
      </c>
      <c r="AO18" s="19">
        <v>5642</v>
      </c>
      <c r="AP18" s="19">
        <v>2</v>
      </c>
      <c r="AQ18" s="19">
        <v>478</v>
      </c>
      <c r="AR18" s="19">
        <v>4</v>
      </c>
      <c r="AS18" s="19">
        <v>177</v>
      </c>
      <c r="AT18" s="19">
        <v>0</v>
      </c>
      <c r="AU18" s="19">
        <v>364</v>
      </c>
      <c r="AV18" s="19">
        <v>3</v>
      </c>
      <c r="AW18" s="19">
        <v>302</v>
      </c>
      <c r="AX18" s="19">
        <v>2</v>
      </c>
      <c r="AY18" s="19">
        <f t="shared" si="20"/>
        <v>3906</v>
      </c>
      <c r="AZ18" s="19">
        <f t="shared" si="20"/>
        <v>135</v>
      </c>
      <c r="BA18" s="19">
        <f t="shared" si="20"/>
        <v>12883</v>
      </c>
      <c r="BB18" s="19">
        <f>AL18+AP18+AT18+AX18</f>
        <v>31</v>
      </c>
      <c r="BC18" s="19">
        <f t="shared" si="18"/>
        <v>-265</v>
      </c>
      <c r="BD18" s="19">
        <f t="shared" si="18"/>
        <v>-41</v>
      </c>
      <c r="BE18" s="19">
        <f t="shared" si="18"/>
        <v>-808</v>
      </c>
      <c r="BF18" s="19">
        <f t="shared" si="18"/>
        <v>-9</v>
      </c>
    </row>
    <row r="19" spans="1:58" ht="16.5" customHeight="1">
      <c r="A19" s="19">
        <f>A20+A21</f>
        <v>1832</v>
      </c>
      <c r="B19" s="19">
        <f aca="true" t="shared" si="22" ref="B19:K19">B20+B21</f>
        <v>2</v>
      </c>
      <c r="C19" s="19">
        <f t="shared" si="22"/>
        <v>2648</v>
      </c>
      <c r="D19" s="19">
        <f t="shared" si="22"/>
        <v>0</v>
      </c>
      <c r="E19" s="19">
        <f t="shared" si="22"/>
        <v>2140</v>
      </c>
      <c r="F19" s="19">
        <f t="shared" si="22"/>
        <v>0</v>
      </c>
      <c r="G19" s="19">
        <f t="shared" si="22"/>
        <v>2860</v>
      </c>
      <c r="H19" s="19">
        <f t="shared" si="22"/>
        <v>0</v>
      </c>
      <c r="I19" s="19">
        <f t="shared" si="22"/>
        <v>-308</v>
      </c>
      <c r="J19" s="19">
        <f t="shared" si="22"/>
        <v>2</v>
      </c>
      <c r="K19" s="19">
        <f t="shared" si="22"/>
        <v>-212</v>
      </c>
      <c r="L19" s="19">
        <f>L20+L21</f>
        <v>0</v>
      </c>
      <c r="M19" s="29" t="s">
        <v>29</v>
      </c>
      <c r="N19" s="19">
        <f>N20+N21</f>
        <v>7627</v>
      </c>
      <c r="O19" s="19">
        <f aca="true" t="shared" si="23" ref="O19:X19">O20+O21</f>
        <v>0</v>
      </c>
      <c r="P19" s="19">
        <f t="shared" si="23"/>
        <v>10877</v>
      </c>
      <c r="Q19" s="19">
        <f t="shared" si="23"/>
        <v>0</v>
      </c>
      <c r="R19" s="19">
        <f t="shared" si="23"/>
        <v>1480</v>
      </c>
      <c r="S19" s="19">
        <f t="shared" si="23"/>
        <v>0</v>
      </c>
      <c r="T19" s="19">
        <f t="shared" si="23"/>
        <v>1732</v>
      </c>
      <c r="U19" s="19">
        <f t="shared" si="23"/>
        <v>0</v>
      </c>
      <c r="V19" s="19">
        <f t="shared" si="23"/>
        <v>525</v>
      </c>
      <c r="W19" s="19">
        <f t="shared" si="23"/>
        <v>2</v>
      </c>
      <c r="X19" s="19">
        <f t="shared" si="23"/>
        <v>187</v>
      </c>
      <c r="Y19" s="19">
        <f>Y20+Y21</f>
        <v>0</v>
      </c>
      <c r="Z19" s="19">
        <f>Z20+Z21</f>
        <v>274</v>
      </c>
      <c r="AA19" s="19">
        <f>AA20+AA21</f>
        <v>0</v>
      </c>
      <c r="AB19" s="19">
        <f>AB20+AB21</f>
        <v>47</v>
      </c>
      <c r="AC19" s="19">
        <f>AC20+AC21</f>
        <v>0</v>
      </c>
      <c r="AD19" s="29" t="s">
        <v>29</v>
      </c>
      <c r="AE19" s="19">
        <f t="shared" si="21"/>
        <v>9906</v>
      </c>
      <c r="AF19" s="19">
        <f t="shared" si="19"/>
        <v>2</v>
      </c>
      <c r="AG19" s="19">
        <f t="shared" si="19"/>
        <v>12843</v>
      </c>
      <c r="AH19" s="19">
        <f t="shared" si="19"/>
        <v>0</v>
      </c>
      <c r="AI19" s="19">
        <f aca="true" t="shared" si="24" ref="AI19:BF19">AI20+AI21</f>
        <v>8440</v>
      </c>
      <c r="AJ19" s="19">
        <f t="shared" si="24"/>
        <v>0</v>
      </c>
      <c r="AK19" s="19">
        <f t="shared" si="24"/>
        <v>10907</v>
      </c>
      <c r="AL19" s="19">
        <f t="shared" si="24"/>
        <v>0</v>
      </c>
      <c r="AM19" s="19">
        <f t="shared" si="24"/>
        <v>1658</v>
      </c>
      <c r="AN19" s="19">
        <f t="shared" si="24"/>
        <v>0</v>
      </c>
      <c r="AO19" s="19">
        <f t="shared" si="24"/>
        <v>1836</v>
      </c>
      <c r="AP19" s="19">
        <f t="shared" si="24"/>
        <v>0</v>
      </c>
      <c r="AQ19" s="19">
        <f t="shared" si="24"/>
        <v>573</v>
      </c>
      <c r="AR19" s="19">
        <f t="shared" si="24"/>
        <v>0</v>
      </c>
      <c r="AS19" s="19">
        <f t="shared" si="24"/>
        <v>242</v>
      </c>
      <c r="AT19" s="19">
        <f t="shared" si="24"/>
        <v>0</v>
      </c>
      <c r="AU19" s="19">
        <f t="shared" si="24"/>
        <v>291</v>
      </c>
      <c r="AV19" s="19">
        <f t="shared" si="24"/>
        <v>0</v>
      </c>
      <c r="AW19" s="19">
        <f t="shared" si="24"/>
        <v>53</v>
      </c>
      <c r="AX19" s="19">
        <f t="shared" si="24"/>
        <v>0</v>
      </c>
      <c r="AY19" s="19">
        <f t="shared" si="24"/>
        <v>10962</v>
      </c>
      <c r="AZ19" s="19">
        <f t="shared" si="24"/>
        <v>0</v>
      </c>
      <c r="BA19" s="19">
        <f t="shared" si="24"/>
        <v>13038</v>
      </c>
      <c r="BB19" s="19">
        <f t="shared" si="24"/>
        <v>0</v>
      </c>
      <c r="BC19" s="19">
        <f t="shared" si="24"/>
        <v>-1056</v>
      </c>
      <c r="BD19" s="19">
        <f t="shared" si="24"/>
        <v>2</v>
      </c>
      <c r="BE19" s="19">
        <f t="shared" si="24"/>
        <v>-195</v>
      </c>
      <c r="BF19" s="19">
        <f t="shared" si="24"/>
        <v>0</v>
      </c>
    </row>
    <row r="20" spans="1:58" ht="16.5" customHeight="1">
      <c r="A20" s="19">
        <v>1832</v>
      </c>
      <c r="B20" s="19">
        <v>2</v>
      </c>
      <c r="C20" s="19">
        <v>2648</v>
      </c>
      <c r="D20" s="19"/>
      <c r="E20" s="19">
        <v>2140</v>
      </c>
      <c r="F20" s="19"/>
      <c r="G20" s="19">
        <v>2860</v>
      </c>
      <c r="H20" s="19"/>
      <c r="I20" s="19">
        <f aca="true" t="shared" si="25" ref="I20:L21">+A20-E20</f>
        <v>-308</v>
      </c>
      <c r="J20" s="19">
        <f t="shared" si="25"/>
        <v>2</v>
      </c>
      <c r="K20" s="19">
        <f t="shared" si="25"/>
        <v>-212</v>
      </c>
      <c r="L20" s="19">
        <f t="shared" si="25"/>
        <v>0</v>
      </c>
      <c r="M20" s="26" t="s">
        <v>48</v>
      </c>
      <c r="N20" s="19">
        <v>7627</v>
      </c>
      <c r="O20" s="19"/>
      <c r="P20" s="19">
        <v>10877</v>
      </c>
      <c r="Q20" s="19"/>
      <c r="R20" s="19">
        <v>1480</v>
      </c>
      <c r="S20" s="19"/>
      <c r="T20" s="19">
        <v>1732</v>
      </c>
      <c r="U20" s="19"/>
      <c r="V20" s="19">
        <v>525</v>
      </c>
      <c r="W20" s="19">
        <v>2</v>
      </c>
      <c r="X20" s="19">
        <v>187</v>
      </c>
      <c r="Y20" s="19"/>
      <c r="Z20" s="19">
        <v>273</v>
      </c>
      <c r="AA20" s="19"/>
      <c r="AB20" s="19">
        <v>47</v>
      </c>
      <c r="AC20" s="19"/>
      <c r="AD20" s="26" t="s">
        <v>48</v>
      </c>
      <c r="AE20" s="19">
        <f t="shared" si="21"/>
        <v>9905</v>
      </c>
      <c r="AF20" s="19">
        <f t="shared" si="19"/>
        <v>2</v>
      </c>
      <c r="AG20" s="19">
        <f t="shared" si="19"/>
        <v>12843</v>
      </c>
      <c r="AH20" s="19">
        <f t="shared" si="19"/>
        <v>0</v>
      </c>
      <c r="AI20" s="19">
        <v>8440</v>
      </c>
      <c r="AJ20" s="19"/>
      <c r="AK20" s="19">
        <v>10907</v>
      </c>
      <c r="AL20" s="19"/>
      <c r="AM20" s="19">
        <v>1658</v>
      </c>
      <c r="AN20" s="19"/>
      <c r="AO20" s="19">
        <v>1836</v>
      </c>
      <c r="AP20" s="19"/>
      <c r="AQ20" s="19">
        <v>573</v>
      </c>
      <c r="AR20" s="19"/>
      <c r="AS20" s="19">
        <v>242</v>
      </c>
      <c r="AT20" s="19"/>
      <c r="AU20" s="19">
        <v>289</v>
      </c>
      <c r="AV20" s="19"/>
      <c r="AW20" s="19">
        <v>53</v>
      </c>
      <c r="AX20" s="19"/>
      <c r="AY20" s="19">
        <f aca="true" t="shared" si="26" ref="AY20:BB21">AI20+AM20+AQ20+AU20</f>
        <v>10960</v>
      </c>
      <c r="AZ20" s="19">
        <f t="shared" si="26"/>
        <v>0</v>
      </c>
      <c r="BA20" s="19">
        <f t="shared" si="26"/>
        <v>13038</v>
      </c>
      <c r="BB20" s="19">
        <f t="shared" si="26"/>
        <v>0</v>
      </c>
      <c r="BC20" s="19">
        <f aca="true" t="shared" si="27" ref="BC20:BF21">AE20-AY20</f>
        <v>-1055</v>
      </c>
      <c r="BD20" s="19">
        <f t="shared" si="27"/>
        <v>2</v>
      </c>
      <c r="BE20" s="19">
        <f t="shared" si="27"/>
        <v>-195</v>
      </c>
      <c r="BF20" s="19">
        <f t="shared" si="27"/>
        <v>0</v>
      </c>
    </row>
    <row r="21" spans="1:58" ht="16.5" customHeight="1">
      <c r="A21" s="19"/>
      <c r="B21" s="19"/>
      <c r="C21" s="19"/>
      <c r="D21" s="19"/>
      <c r="E21" s="19"/>
      <c r="F21" s="19"/>
      <c r="G21" s="19"/>
      <c r="H21" s="19"/>
      <c r="I21" s="19">
        <f t="shared" si="25"/>
        <v>0</v>
      </c>
      <c r="J21" s="19">
        <f t="shared" si="25"/>
        <v>0</v>
      </c>
      <c r="K21" s="19">
        <f t="shared" si="25"/>
        <v>0</v>
      </c>
      <c r="L21" s="19">
        <f t="shared" si="25"/>
        <v>0</v>
      </c>
      <c r="M21" s="26" t="s">
        <v>49</v>
      </c>
      <c r="N21" s="19"/>
      <c r="O21" s="19"/>
      <c r="P21" s="19"/>
      <c r="Q21" s="19"/>
      <c r="R21" s="19">
        <v>0</v>
      </c>
      <c r="S21" s="19"/>
      <c r="T21" s="19">
        <v>0</v>
      </c>
      <c r="U21" s="19"/>
      <c r="V21" s="19"/>
      <c r="W21" s="19"/>
      <c r="X21" s="19"/>
      <c r="Y21" s="19"/>
      <c r="Z21" s="19">
        <v>1</v>
      </c>
      <c r="AA21" s="19"/>
      <c r="AB21" s="19"/>
      <c r="AC21" s="19"/>
      <c r="AD21" s="26" t="s">
        <v>49</v>
      </c>
      <c r="AE21" s="19">
        <f t="shared" si="21"/>
        <v>1</v>
      </c>
      <c r="AF21" s="19">
        <f t="shared" si="19"/>
        <v>0</v>
      </c>
      <c r="AG21" s="19">
        <f t="shared" si="19"/>
        <v>0</v>
      </c>
      <c r="AH21" s="19">
        <f t="shared" si="19"/>
        <v>0</v>
      </c>
      <c r="AI21" s="19">
        <v>0</v>
      </c>
      <c r="AJ21" s="19"/>
      <c r="AK21" s="19">
        <v>0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>
        <v>2</v>
      </c>
      <c r="AV21" s="19"/>
      <c r="AW21" s="19"/>
      <c r="AX21" s="19"/>
      <c r="AY21" s="19">
        <f t="shared" si="26"/>
        <v>2</v>
      </c>
      <c r="AZ21" s="19">
        <f t="shared" si="26"/>
        <v>0</v>
      </c>
      <c r="BA21" s="19">
        <f t="shared" si="26"/>
        <v>0</v>
      </c>
      <c r="BB21" s="19">
        <f t="shared" si="26"/>
        <v>0</v>
      </c>
      <c r="BC21" s="19">
        <f t="shared" si="27"/>
        <v>-1</v>
      </c>
      <c r="BD21" s="19">
        <f t="shared" si="27"/>
        <v>0</v>
      </c>
      <c r="BE21" s="19">
        <f t="shared" si="27"/>
        <v>0</v>
      </c>
      <c r="BF21" s="19">
        <f t="shared" si="27"/>
        <v>0</v>
      </c>
    </row>
    <row r="22" spans="1:58" ht="16.5" customHeight="1">
      <c r="A22" s="19">
        <f aca="true" t="shared" si="28" ref="A22:L22">A23+A24</f>
        <v>0</v>
      </c>
      <c r="B22" s="19">
        <f t="shared" si="28"/>
        <v>0</v>
      </c>
      <c r="C22" s="19">
        <f t="shared" si="28"/>
        <v>0</v>
      </c>
      <c r="D22" s="19">
        <f t="shared" si="28"/>
        <v>0</v>
      </c>
      <c r="E22" s="19">
        <f t="shared" si="28"/>
        <v>0</v>
      </c>
      <c r="F22" s="19">
        <f t="shared" si="28"/>
        <v>0</v>
      </c>
      <c r="G22" s="19">
        <f t="shared" si="28"/>
        <v>0</v>
      </c>
      <c r="H22" s="19">
        <f t="shared" si="28"/>
        <v>0</v>
      </c>
      <c r="I22" s="19">
        <f t="shared" si="28"/>
        <v>0</v>
      </c>
      <c r="J22" s="19">
        <f t="shared" si="28"/>
        <v>0</v>
      </c>
      <c r="K22" s="19">
        <f t="shared" si="28"/>
        <v>0</v>
      </c>
      <c r="L22" s="19">
        <f t="shared" si="28"/>
        <v>0</v>
      </c>
      <c r="M22" s="29" t="s">
        <v>30</v>
      </c>
      <c r="N22" s="19">
        <f aca="true" t="shared" si="29" ref="N22:AB22">N23+N24</f>
        <v>990</v>
      </c>
      <c r="O22" s="19">
        <f t="shared" si="29"/>
        <v>0</v>
      </c>
      <c r="P22" s="19">
        <f t="shared" si="29"/>
        <v>1956</v>
      </c>
      <c r="Q22" s="19">
        <f t="shared" si="29"/>
        <v>0</v>
      </c>
      <c r="R22" s="19">
        <f t="shared" si="29"/>
        <v>70</v>
      </c>
      <c r="S22" s="19">
        <f t="shared" si="29"/>
        <v>0</v>
      </c>
      <c r="T22" s="19">
        <f t="shared" si="29"/>
        <v>21</v>
      </c>
      <c r="U22" s="19">
        <f t="shared" si="29"/>
        <v>0</v>
      </c>
      <c r="V22" s="19">
        <f t="shared" si="29"/>
        <v>112</v>
      </c>
      <c r="W22" s="19">
        <f t="shared" si="29"/>
        <v>0</v>
      </c>
      <c r="X22" s="19">
        <f t="shared" si="29"/>
        <v>62</v>
      </c>
      <c r="Y22" s="19">
        <f t="shared" si="29"/>
        <v>0</v>
      </c>
      <c r="Z22" s="19">
        <f t="shared" si="29"/>
        <v>75</v>
      </c>
      <c r="AA22" s="19">
        <f t="shared" si="29"/>
        <v>0</v>
      </c>
      <c r="AB22" s="19">
        <f t="shared" si="29"/>
        <v>54</v>
      </c>
      <c r="AC22" s="19"/>
      <c r="AD22" s="29" t="s">
        <v>30</v>
      </c>
      <c r="AE22" s="19">
        <f t="shared" si="21"/>
        <v>1247</v>
      </c>
      <c r="AF22" s="19">
        <f t="shared" si="19"/>
        <v>0</v>
      </c>
      <c r="AG22" s="19">
        <f t="shared" si="19"/>
        <v>2093</v>
      </c>
      <c r="AH22" s="19">
        <f t="shared" si="19"/>
        <v>0</v>
      </c>
      <c r="AI22" s="19">
        <f aca="true" t="shared" si="30" ref="AI22:BF22">AI23+AI24</f>
        <v>1016</v>
      </c>
      <c r="AJ22" s="19">
        <f t="shared" si="30"/>
        <v>0</v>
      </c>
      <c r="AK22" s="19">
        <f t="shared" si="30"/>
        <v>2019</v>
      </c>
      <c r="AL22" s="19">
        <f t="shared" si="30"/>
        <v>0</v>
      </c>
      <c r="AM22" s="19">
        <f t="shared" si="30"/>
        <v>90</v>
      </c>
      <c r="AN22" s="19">
        <f t="shared" si="30"/>
        <v>0</v>
      </c>
      <c r="AO22" s="19">
        <f t="shared" si="30"/>
        <v>18</v>
      </c>
      <c r="AP22" s="19">
        <f t="shared" si="30"/>
        <v>0</v>
      </c>
      <c r="AQ22" s="19">
        <f t="shared" si="30"/>
        <v>118</v>
      </c>
      <c r="AR22" s="19">
        <f t="shared" si="30"/>
        <v>0</v>
      </c>
      <c r="AS22" s="19">
        <f t="shared" si="30"/>
        <v>42</v>
      </c>
      <c r="AT22" s="19">
        <f t="shared" si="30"/>
        <v>0</v>
      </c>
      <c r="AU22" s="19">
        <f t="shared" si="30"/>
        <v>30</v>
      </c>
      <c r="AV22" s="19">
        <f t="shared" si="30"/>
        <v>0</v>
      </c>
      <c r="AW22" s="19">
        <f t="shared" si="30"/>
        <v>8</v>
      </c>
      <c r="AX22" s="19">
        <f t="shared" si="30"/>
        <v>0</v>
      </c>
      <c r="AY22" s="19">
        <f t="shared" si="30"/>
        <v>1254</v>
      </c>
      <c r="AZ22" s="19">
        <f t="shared" si="30"/>
        <v>0</v>
      </c>
      <c r="BA22" s="19">
        <f t="shared" si="30"/>
        <v>2087</v>
      </c>
      <c r="BB22" s="19">
        <f t="shared" si="30"/>
        <v>0</v>
      </c>
      <c r="BC22" s="19">
        <f t="shared" si="30"/>
        <v>-7</v>
      </c>
      <c r="BD22" s="19">
        <f t="shared" si="30"/>
        <v>0</v>
      </c>
      <c r="BE22" s="19">
        <f t="shared" si="30"/>
        <v>6</v>
      </c>
      <c r="BF22" s="19">
        <f t="shared" si="30"/>
        <v>0</v>
      </c>
    </row>
    <row r="23" spans="1:58" ht="16.5" customHeight="1">
      <c r="A23" s="19"/>
      <c r="B23" s="19"/>
      <c r="C23" s="19"/>
      <c r="D23" s="19"/>
      <c r="E23" s="19"/>
      <c r="F23" s="19"/>
      <c r="G23" s="19"/>
      <c r="H23" s="19"/>
      <c r="I23" s="19">
        <f aca="true" t="shared" si="31" ref="I23:L24">+A23-E23</f>
        <v>0</v>
      </c>
      <c r="J23" s="19">
        <f t="shared" si="31"/>
        <v>0</v>
      </c>
      <c r="K23" s="19">
        <f t="shared" si="31"/>
        <v>0</v>
      </c>
      <c r="L23" s="19">
        <f t="shared" si="31"/>
        <v>0</v>
      </c>
      <c r="M23" s="26" t="s">
        <v>48</v>
      </c>
      <c r="N23" s="19">
        <v>976</v>
      </c>
      <c r="O23" s="19"/>
      <c r="P23" s="19">
        <v>1952</v>
      </c>
      <c r="Q23" s="19"/>
      <c r="R23" s="19">
        <v>70</v>
      </c>
      <c r="S23" s="19"/>
      <c r="T23" s="19">
        <v>21</v>
      </c>
      <c r="U23" s="19"/>
      <c r="V23" s="19">
        <v>112</v>
      </c>
      <c r="W23" s="19"/>
      <c r="X23" s="19">
        <v>62</v>
      </c>
      <c r="Y23" s="19"/>
      <c r="Z23" s="19">
        <f>72+3</f>
        <v>75</v>
      </c>
      <c r="AA23" s="19"/>
      <c r="AB23" s="19">
        <f>50+4</f>
        <v>54</v>
      </c>
      <c r="AC23" s="19"/>
      <c r="AD23" s="26" t="s">
        <v>48</v>
      </c>
      <c r="AE23" s="19">
        <f t="shared" si="21"/>
        <v>1233</v>
      </c>
      <c r="AF23" s="19">
        <f t="shared" si="19"/>
        <v>0</v>
      </c>
      <c r="AG23" s="19">
        <f t="shared" si="19"/>
        <v>2089</v>
      </c>
      <c r="AH23" s="19">
        <f t="shared" si="19"/>
        <v>0</v>
      </c>
      <c r="AI23" s="19">
        <v>992</v>
      </c>
      <c r="AJ23" s="19"/>
      <c r="AK23" s="19">
        <v>2007</v>
      </c>
      <c r="AL23" s="19"/>
      <c r="AM23" s="19">
        <v>90</v>
      </c>
      <c r="AN23" s="19">
        <v>0</v>
      </c>
      <c r="AO23" s="19">
        <v>18</v>
      </c>
      <c r="AP23" s="19"/>
      <c r="AQ23" s="19">
        <v>118</v>
      </c>
      <c r="AR23" s="19"/>
      <c r="AS23" s="19">
        <v>42</v>
      </c>
      <c r="AT23" s="19"/>
      <c r="AU23" s="19">
        <f>26+4</f>
        <v>30</v>
      </c>
      <c r="AV23" s="19"/>
      <c r="AW23" s="19">
        <f>5+3</f>
        <v>8</v>
      </c>
      <c r="AX23" s="19"/>
      <c r="AY23" s="19">
        <f aca="true" t="shared" si="32" ref="AY23:BB28">AI23+AM23+AQ23+AU23</f>
        <v>1230</v>
      </c>
      <c r="AZ23" s="19">
        <f t="shared" si="32"/>
        <v>0</v>
      </c>
      <c r="BA23" s="19">
        <f t="shared" si="32"/>
        <v>2075</v>
      </c>
      <c r="BB23" s="19">
        <f t="shared" si="32"/>
        <v>0</v>
      </c>
      <c r="BC23" s="19">
        <f aca="true" t="shared" si="33" ref="BC23:BF28">AE23-AY23</f>
        <v>3</v>
      </c>
      <c r="BD23" s="19">
        <f t="shared" si="33"/>
        <v>0</v>
      </c>
      <c r="BE23" s="19">
        <f t="shared" si="33"/>
        <v>14</v>
      </c>
      <c r="BF23" s="19">
        <f t="shared" si="33"/>
        <v>0</v>
      </c>
    </row>
    <row r="24" spans="1:58" ht="16.5" customHeight="1">
      <c r="A24" s="19"/>
      <c r="B24" s="19"/>
      <c r="C24" s="19"/>
      <c r="D24" s="19"/>
      <c r="E24" s="19"/>
      <c r="F24" s="19"/>
      <c r="G24" s="19"/>
      <c r="H24" s="19"/>
      <c r="I24" s="19">
        <f t="shared" si="31"/>
        <v>0</v>
      </c>
      <c r="J24" s="19">
        <f t="shared" si="31"/>
        <v>0</v>
      </c>
      <c r="K24" s="19">
        <f t="shared" si="31"/>
        <v>0</v>
      </c>
      <c r="L24" s="19">
        <f t="shared" si="31"/>
        <v>0</v>
      </c>
      <c r="M24" s="26" t="s">
        <v>49</v>
      </c>
      <c r="N24" s="19">
        <v>14</v>
      </c>
      <c r="O24" s="19"/>
      <c r="P24" s="19">
        <v>4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6" t="s">
        <v>49</v>
      </c>
      <c r="AE24" s="19">
        <f t="shared" si="21"/>
        <v>14</v>
      </c>
      <c r="AF24" s="19">
        <f t="shared" si="19"/>
        <v>0</v>
      </c>
      <c r="AG24" s="19">
        <f t="shared" si="19"/>
        <v>4</v>
      </c>
      <c r="AH24" s="19">
        <f t="shared" si="19"/>
        <v>0</v>
      </c>
      <c r="AI24" s="19">
        <v>24</v>
      </c>
      <c r="AJ24" s="19"/>
      <c r="AK24" s="19">
        <v>12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>
        <v>0</v>
      </c>
      <c r="AV24" s="19"/>
      <c r="AW24" s="19"/>
      <c r="AX24" s="19"/>
      <c r="AY24" s="19">
        <f t="shared" si="32"/>
        <v>24</v>
      </c>
      <c r="AZ24" s="19">
        <f t="shared" si="32"/>
        <v>0</v>
      </c>
      <c r="BA24" s="19">
        <f t="shared" si="32"/>
        <v>12</v>
      </c>
      <c r="BB24" s="19">
        <f t="shared" si="32"/>
        <v>0</v>
      </c>
      <c r="BC24" s="19">
        <f t="shared" si="33"/>
        <v>-10</v>
      </c>
      <c r="BD24" s="19">
        <f t="shared" si="33"/>
        <v>0</v>
      </c>
      <c r="BE24" s="19">
        <f t="shared" si="33"/>
        <v>-8</v>
      </c>
      <c r="BF24" s="19">
        <f t="shared" si="33"/>
        <v>0</v>
      </c>
    </row>
    <row r="25" spans="1:58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0" t="s">
        <v>50</v>
      </c>
      <c r="N25" s="19">
        <v>7</v>
      </c>
      <c r="O25" s="19"/>
      <c r="P25" s="19">
        <v>35</v>
      </c>
      <c r="Q25" s="19"/>
      <c r="R25" s="19">
        <v>4</v>
      </c>
      <c r="S25" s="19"/>
      <c r="T25" s="19">
        <v>6</v>
      </c>
      <c r="U25" s="19"/>
      <c r="V25" s="19">
        <v>14</v>
      </c>
      <c r="W25" s="19"/>
      <c r="X25" s="19">
        <v>13</v>
      </c>
      <c r="Y25" s="19"/>
      <c r="Z25" s="19">
        <v>2</v>
      </c>
      <c r="AA25" s="19"/>
      <c r="AB25" s="19">
        <v>1</v>
      </c>
      <c r="AC25" s="19"/>
      <c r="AD25" s="30" t="s">
        <v>50</v>
      </c>
      <c r="AE25" s="19">
        <f t="shared" si="21"/>
        <v>27</v>
      </c>
      <c r="AF25" s="19">
        <f t="shared" si="19"/>
        <v>0</v>
      </c>
      <c r="AG25" s="19">
        <f t="shared" si="19"/>
        <v>55</v>
      </c>
      <c r="AH25" s="19">
        <f t="shared" si="19"/>
        <v>0</v>
      </c>
      <c r="AI25" s="19">
        <v>12</v>
      </c>
      <c r="AJ25" s="19"/>
      <c r="AK25" s="19">
        <v>40</v>
      </c>
      <c r="AL25" s="19"/>
      <c r="AM25" s="19">
        <v>5</v>
      </c>
      <c r="AN25" s="19"/>
      <c r="AO25" s="19">
        <v>9</v>
      </c>
      <c r="AP25" s="19"/>
      <c r="AQ25" s="19">
        <v>18</v>
      </c>
      <c r="AR25" s="19"/>
      <c r="AS25" s="19">
        <v>20</v>
      </c>
      <c r="AT25" s="19"/>
      <c r="AU25" s="19">
        <v>5</v>
      </c>
      <c r="AV25" s="19"/>
      <c r="AW25" s="19">
        <v>1</v>
      </c>
      <c r="AX25" s="19"/>
      <c r="AY25" s="19">
        <f t="shared" si="32"/>
        <v>40</v>
      </c>
      <c r="AZ25" s="19">
        <f t="shared" si="32"/>
        <v>0</v>
      </c>
      <c r="BA25" s="19">
        <f t="shared" si="32"/>
        <v>70</v>
      </c>
      <c r="BB25" s="19">
        <f t="shared" si="32"/>
        <v>0</v>
      </c>
      <c r="BC25" s="19">
        <f t="shared" si="33"/>
        <v>-13</v>
      </c>
      <c r="BD25" s="19">
        <f t="shared" si="33"/>
        <v>0</v>
      </c>
      <c r="BE25" s="19">
        <f t="shared" si="33"/>
        <v>-15</v>
      </c>
      <c r="BF25" s="19">
        <f t="shared" si="33"/>
        <v>0</v>
      </c>
    </row>
    <row r="26" spans="1:58" ht="16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0" t="s">
        <v>51</v>
      </c>
      <c r="N26" s="19">
        <v>12</v>
      </c>
      <c r="O26" s="19">
        <v>2</v>
      </c>
      <c r="P26" s="19">
        <f>3+36</f>
        <v>39</v>
      </c>
      <c r="Q26" s="19"/>
      <c r="R26" s="19">
        <v>6</v>
      </c>
      <c r="S26" s="19"/>
      <c r="T26" s="19">
        <v>3</v>
      </c>
      <c r="U26" s="19"/>
      <c r="V26" s="19">
        <v>23</v>
      </c>
      <c r="W26" s="19"/>
      <c r="X26" s="19">
        <v>7</v>
      </c>
      <c r="Y26" s="19"/>
      <c r="Z26" s="19"/>
      <c r="AA26" s="19">
        <v>1</v>
      </c>
      <c r="AB26" s="19"/>
      <c r="AC26" s="19"/>
      <c r="AD26" s="30" t="s">
        <v>51</v>
      </c>
      <c r="AE26" s="19">
        <f t="shared" si="21"/>
        <v>41</v>
      </c>
      <c r="AF26" s="19">
        <f t="shared" si="19"/>
        <v>3</v>
      </c>
      <c r="AG26" s="19">
        <f t="shared" si="19"/>
        <v>49</v>
      </c>
      <c r="AH26" s="19">
        <f t="shared" si="19"/>
        <v>0</v>
      </c>
      <c r="AI26" s="19">
        <f>6+18</f>
        <v>24</v>
      </c>
      <c r="AJ26" s="19">
        <v>6</v>
      </c>
      <c r="AK26" s="19">
        <v>40</v>
      </c>
      <c r="AL26" s="19">
        <v>0</v>
      </c>
      <c r="AM26" s="19">
        <v>6</v>
      </c>
      <c r="AN26" s="19"/>
      <c r="AO26" s="19">
        <v>5</v>
      </c>
      <c r="AP26" s="19"/>
      <c r="AQ26" s="19">
        <v>28</v>
      </c>
      <c r="AR26" s="19"/>
      <c r="AS26" s="19">
        <v>8</v>
      </c>
      <c r="AT26" s="19"/>
      <c r="AU26" s="19"/>
      <c r="AV26" s="19">
        <v>2</v>
      </c>
      <c r="AW26" s="19"/>
      <c r="AX26" s="19"/>
      <c r="AY26" s="19">
        <f t="shared" si="32"/>
        <v>58</v>
      </c>
      <c r="AZ26" s="19">
        <f t="shared" si="32"/>
        <v>8</v>
      </c>
      <c r="BA26" s="19">
        <f t="shared" si="32"/>
        <v>53</v>
      </c>
      <c r="BB26" s="19">
        <f t="shared" si="32"/>
        <v>0</v>
      </c>
      <c r="BC26" s="19">
        <f t="shared" si="33"/>
        <v>-17</v>
      </c>
      <c r="BD26" s="19">
        <f t="shared" si="33"/>
        <v>-5</v>
      </c>
      <c r="BE26" s="19">
        <f t="shared" si="33"/>
        <v>-4</v>
      </c>
      <c r="BF26" s="19">
        <f t="shared" si="33"/>
        <v>0</v>
      </c>
    </row>
    <row r="27" spans="1:58" ht="16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0" t="s">
        <v>52</v>
      </c>
      <c r="N27" s="19">
        <v>77</v>
      </c>
      <c r="O27" s="19">
        <v>0</v>
      </c>
      <c r="P27" s="19">
        <v>696</v>
      </c>
      <c r="Q27" s="19"/>
      <c r="R27" s="19">
        <v>7</v>
      </c>
      <c r="S27" s="19">
        <v>1</v>
      </c>
      <c r="T27" s="19">
        <v>5</v>
      </c>
      <c r="U27" s="19"/>
      <c r="V27" s="19">
        <v>28</v>
      </c>
      <c r="W27" s="19">
        <v>17</v>
      </c>
      <c r="X27" s="19">
        <v>18</v>
      </c>
      <c r="Y27" s="19"/>
      <c r="Z27" s="19">
        <v>1</v>
      </c>
      <c r="AA27" s="19"/>
      <c r="AB27" s="19"/>
      <c r="AC27" s="19"/>
      <c r="AD27" s="30" t="s">
        <v>52</v>
      </c>
      <c r="AE27" s="19">
        <f t="shared" si="21"/>
        <v>113</v>
      </c>
      <c r="AF27" s="19">
        <f t="shared" si="19"/>
        <v>18</v>
      </c>
      <c r="AG27" s="19">
        <f t="shared" si="19"/>
        <v>719</v>
      </c>
      <c r="AH27" s="19">
        <f t="shared" si="19"/>
        <v>0</v>
      </c>
      <c r="AI27" s="19">
        <v>143</v>
      </c>
      <c r="AJ27" s="19">
        <v>121</v>
      </c>
      <c r="AK27" s="19">
        <v>1078</v>
      </c>
      <c r="AL27" s="19">
        <v>0</v>
      </c>
      <c r="AM27" s="19">
        <v>16</v>
      </c>
      <c r="AN27" s="19">
        <v>8</v>
      </c>
      <c r="AO27" s="19">
        <v>25</v>
      </c>
      <c r="AP27" s="19">
        <v>0</v>
      </c>
      <c r="AQ27" s="19">
        <v>42</v>
      </c>
      <c r="AR27" s="19">
        <v>19</v>
      </c>
      <c r="AS27" s="19">
        <v>49</v>
      </c>
      <c r="AT27" s="19"/>
      <c r="AU27" s="19">
        <v>1</v>
      </c>
      <c r="AV27" s="19"/>
      <c r="AW27" s="19"/>
      <c r="AX27" s="19"/>
      <c r="AY27" s="19">
        <f t="shared" si="32"/>
        <v>202</v>
      </c>
      <c r="AZ27" s="19">
        <f t="shared" si="32"/>
        <v>148</v>
      </c>
      <c r="BA27" s="19">
        <f t="shared" si="32"/>
        <v>1152</v>
      </c>
      <c r="BB27" s="19">
        <f t="shared" si="32"/>
        <v>0</v>
      </c>
      <c r="BC27" s="19">
        <f t="shared" si="33"/>
        <v>-89</v>
      </c>
      <c r="BD27" s="19">
        <f t="shared" si="33"/>
        <v>-130</v>
      </c>
      <c r="BE27" s="19">
        <f t="shared" si="33"/>
        <v>-433</v>
      </c>
      <c r="BF27" s="19">
        <f t="shared" si="33"/>
        <v>0</v>
      </c>
    </row>
    <row r="28" spans="1:58" ht="16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0" t="s">
        <v>53</v>
      </c>
      <c r="N28" s="19">
        <v>980</v>
      </c>
      <c r="O28" s="19"/>
      <c r="P28" s="19">
        <v>2463</v>
      </c>
      <c r="Q28" s="19"/>
      <c r="R28" s="19">
        <v>490</v>
      </c>
      <c r="S28" s="19">
        <v>7</v>
      </c>
      <c r="T28" s="19">
        <v>1010</v>
      </c>
      <c r="U28" s="19"/>
      <c r="V28" s="19">
        <v>330</v>
      </c>
      <c r="W28" s="19">
        <v>0</v>
      </c>
      <c r="X28" s="19">
        <v>169</v>
      </c>
      <c r="Y28" s="19"/>
      <c r="Z28" s="19">
        <v>154</v>
      </c>
      <c r="AA28" s="19">
        <v>1</v>
      </c>
      <c r="AB28" s="19">
        <v>222</v>
      </c>
      <c r="AC28" s="19">
        <v>38</v>
      </c>
      <c r="AD28" s="30" t="s">
        <v>53</v>
      </c>
      <c r="AE28" s="19">
        <f t="shared" si="21"/>
        <v>1954</v>
      </c>
      <c r="AF28" s="19">
        <f t="shared" si="19"/>
        <v>8</v>
      </c>
      <c r="AG28" s="19">
        <f t="shared" si="19"/>
        <v>3864</v>
      </c>
      <c r="AH28" s="19">
        <f t="shared" si="19"/>
        <v>38</v>
      </c>
      <c r="AI28" s="19">
        <v>1042</v>
      </c>
      <c r="AJ28" s="19"/>
      <c r="AK28" s="19">
        <v>2535</v>
      </c>
      <c r="AL28" s="19"/>
      <c r="AM28" s="19">
        <v>525</v>
      </c>
      <c r="AN28" s="19">
        <v>8</v>
      </c>
      <c r="AO28" s="19">
        <v>1063</v>
      </c>
      <c r="AP28" s="19"/>
      <c r="AQ28" s="19">
        <v>355</v>
      </c>
      <c r="AR28" s="19">
        <v>0</v>
      </c>
      <c r="AS28" s="19">
        <v>185</v>
      </c>
      <c r="AT28" s="19"/>
      <c r="AU28" s="19">
        <v>187</v>
      </c>
      <c r="AV28" s="19">
        <v>1</v>
      </c>
      <c r="AW28" s="19">
        <v>232</v>
      </c>
      <c r="AX28" s="19">
        <v>41</v>
      </c>
      <c r="AY28" s="19">
        <f t="shared" si="32"/>
        <v>2109</v>
      </c>
      <c r="AZ28" s="19">
        <f t="shared" si="32"/>
        <v>9</v>
      </c>
      <c r="BA28" s="19">
        <f t="shared" si="32"/>
        <v>4015</v>
      </c>
      <c r="BB28" s="19">
        <f t="shared" si="32"/>
        <v>41</v>
      </c>
      <c r="BC28" s="19">
        <f t="shared" si="33"/>
        <v>-155</v>
      </c>
      <c r="BD28" s="19">
        <f t="shared" si="33"/>
        <v>-1</v>
      </c>
      <c r="BE28" s="19">
        <f t="shared" si="33"/>
        <v>-151</v>
      </c>
      <c r="BF28" s="19">
        <f t="shared" si="33"/>
        <v>-3</v>
      </c>
    </row>
    <row r="29" spans="1:58" s="28" customFormat="1" ht="16.5" customHeight="1">
      <c r="A29" s="22">
        <f aca="true" t="shared" si="34" ref="A29:L29">A30+A33+A36+A37+A40+A43+A46+A47</f>
        <v>0</v>
      </c>
      <c r="B29" s="22">
        <f t="shared" si="34"/>
        <v>0</v>
      </c>
      <c r="C29" s="22">
        <f t="shared" si="34"/>
        <v>0</v>
      </c>
      <c r="D29" s="22">
        <f t="shared" si="34"/>
        <v>0</v>
      </c>
      <c r="E29" s="22">
        <f t="shared" si="34"/>
        <v>0</v>
      </c>
      <c r="F29" s="22">
        <f t="shared" si="34"/>
        <v>0</v>
      </c>
      <c r="G29" s="22">
        <f t="shared" si="34"/>
        <v>0</v>
      </c>
      <c r="H29" s="22">
        <f t="shared" si="34"/>
        <v>0</v>
      </c>
      <c r="I29" s="22">
        <f t="shared" si="34"/>
        <v>0</v>
      </c>
      <c r="J29" s="22">
        <f t="shared" si="34"/>
        <v>0</v>
      </c>
      <c r="K29" s="22">
        <f t="shared" si="34"/>
        <v>0</v>
      </c>
      <c r="L29" s="22">
        <f t="shared" si="34"/>
        <v>0</v>
      </c>
      <c r="M29" s="27" t="s">
        <v>31</v>
      </c>
      <c r="N29" s="24">
        <f>N30+N33+N36+N37+N40+N43+N46+N47</f>
        <v>640</v>
      </c>
      <c r="O29" s="24">
        <f aca="true" t="shared" si="35" ref="O29:Y29">O30+O33+O36+O37+O40+O43+O46+O47</f>
        <v>0</v>
      </c>
      <c r="P29" s="24">
        <f t="shared" si="35"/>
        <v>5085</v>
      </c>
      <c r="Q29" s="24">
        <f t="shared" si="35"/>
        <v>1</v>
      </c>
      <c r="R29" s="24">
        <f t="shared" si="35"/>
        <v>17490</v>
      </c>
      <c r="S29" s="24">
        <f t="shared" si="35"/>
        <v>1911</v>
      </c>
      <c r="T29" s="24">
        <f t="shared" si="35"/>
        <v>3340</v>
      </c>
      <c r="U29" s="24">
        <f t="shared" si="35"/>
        <v>13</v>
      </c>
      <c r="V29" s="24">
        <f t="shared" si="35"/>
        <v>1405</v>
      </c>
      <c r="W29" s="24">
        <f t="shared" si="35"/>
        <v>68</v>
      </c>
      <c r="X29" s="24">
        <f t="shared" si="35"/>
        <v>288</v>
      </c>
      <c r="Y29" s="24">
        <f t="shared" si="35"/>
        <v>0</v>
      </c>
      <c r="Z29" s="24">
        <f>Z30+Z33+Z36+Z37+Z40+Z43+Z46+Z47</f>
        <v>223</v>
      </c>
      <c r="AA29" s="24">
        <f>AA30+AA33+AA36+AA37+AA40+AA43+AA46+AA47</f>
        <v>2</v>
      </c>
      <c r="AB29" s="24">
        <f>AB30+AB33+AB36+AB37+AB40+AB43+AB46+AB47</f>
        <v>183</v>
      </c>
      <c r="AC29" s="24">
        <f>AC30+AC33+AC36+AC37+AC40+AC43+AC46+AC47</f>
        <v>0</v>
      </c>
      <c r="AD29" s="47" t="s">
        <v>66</v>
      </c>
      <c r="AE29" s="39">
        <f t="shared" si="21"/>
        <v>19758</v>
      </c>
      <c r="AF29" s="39">
        <f t="shared" si="19"/>
        <v>1981</v>
      </c>
      <c r="AG29" s="39">
        <f t="shared" si="19"/>
        <v>8896</v>
      </c>
      <c r="AH29" s="39">
        <f t="shared" si="19"/>
        <v>14</v>
      </c>
      <c r="AI29" s="39">
        <f aca="true" t="shared" si="36" ref="AI29:BF29">AI30+AI33+AI36+AI37+AI40+AI43+AI46+AI47</f>
        <v>723</v>
      </c>
      <c r="AJ29" s="39">
        <f t="shared" si="36"/>
        <v>0</v>
      </c>
      <c r="AK29" s="39">
        <f t="shared" si="36"/>
        <v>5458</v>
      </c>
      <c r="AL29" s="39">
        <f t="shared" si="36"/>
        <v>1</v>
      </c>
      <c r="AM29" s="39">
        <f t="shared" si="36"/>
        <v>18573</v>
      </c>
      <c r="AN29" s="39">
        <f t="shared" si="36"/>
        <v>1180</v>
      </c>
      <c r="AO29" s="39">
        <f t="shared" si="36"/>
        <v>3535</v>
      </c>
      <c r="AP29" s="39">
        <f t="shared" si="36"/>
        <v>3</v>
      </c>
      <c r="AQ29" s="39">
        <f t="shared" si="36"/>
        <v>1732</v>
      </c>
      <c r="AR29" s="39">
        <f t="shared" si="36"/>
        <v>58</v>
      </c>
      <c r="AS29" s="39">
        <f t="shared" si="36"/>
        <v>389</v>
      </c>
      <c r="AT29" s="39">
        <f t="shared" si="36"/>
        <v>0</v>
      </c>
      <c r="AU29" s="39">
        <f t="shared" si="36"/>
        <v>253</v>
      </c>
      <c r="AV29" s="39">
        <f t="shared" si="36"/>
        <v>3</v>
      </c>
      <c r="AW29" s="39">
        <f t="shared" si="36"/>
        <v>203</v>
      </c>
      <c r="AX29" s="39">
        <f t="shared" si="36"/>
        <v>0</v>
      </c>
      <c r="AY29" s="39">
        <f t="shared" si="36"/>
        <v>21281</v>
      </c>
      <c r="AZ29" s="39">
        <f t="shared" si="36"/>
        <v>1241</v>
      </c>
      <c r="BA29" s="39">
        <f t="shared" si="36"/>
        <v>9585</v>
      </c>
      <c r="BB29" s="39">
        <f t="shared" si="36"/>
        <v>4</v>
      </c>
      <c r="BC29" s="39">
        <f t="shared" si="36"/>
        <v>-1523</v>
      </c>
      <c r="BD29" s="39">
        <f t="shared" si="36"/>
        <v>740</v>
      </c>
      <c r="BE29" s="39">
        <f t="shared" si="36"/>
        <v>-689</v>
      </c>
      <c r="BF29" s="39">
        <f t="shared" si="36"/>
        <v>10</v>
      </c>
    </row>
    <row r="30" spans="1:58" ht="16.5" customHeight="1">
      <c r="A30" s="19">
        <f aca="true" t="shared" si="37" ref="A30:L30">A31+A32</f>
        <v>0</v>
      </c>
      <c r="B30" s="19">
        <f t="shared" si="37"/>
        <v>0</v>
      </c>
      <c r="C30" s="19">
        <f t="shared" si="37"/>
        <v>0</v>
      </c>
      <c r="D30" s="19">
        <f t="shared" si="37"/>
        <v>0</v>
      </c>
      <c r="E30" s="19">
        <f t="shared" si="37"/>
        <v>0</v>
      </c>
      <c r="F30" s="19">
        <f t="shared" si="37"/>
        <v>0</v>
      </c>
      <c r="G30" s="19">
        <f t="shared" si="37"/>
        <v>0</v>
      </c>
      <c r="H30" s="19">
        <f t="shared" si="37"/>
        <v>0</v>
      </c>
      <c r="I30" s="19">
        <f t="shared" si="37"/>
        <v>0</v>
      </c>
      <c r="J30" s="19">
        <f t="shared" si="37"/>
        <v>0</v>
      </c>
      <c r="K30" s="19">
        <f t="shared" si="37"/>
        <v>0</v>
      </c>
      <c r="L30" s="19">
        <f t="shared" si="37"/>
        <v>0</v>
      </c>
      <c r="M30" s="29" t="s">
        <v>32</v>
      </c>
      <c r="N30" s="19">
        <f aca="true" t="shared" si="38" ref="N30:AC30">N31+N32</f>
        <v>0</v>
      </c>
      <c r="O30" s="19">
        <f t="shared" si="38"/>
        <v>0</v>
      </c>
      <c r="P30" s="19">
        <f t="shared" si="38"/>
        <v>0</v>
      </c>
      <c r="Q30" s="19">
        <f t="shared" si="38"/>
        <v>0</v>
      </c>
      <c r="R30" s="19">
        <f>R31+R32</f>
        <v>149</v>
      </c>
      <c r="S30" s="19">
        <f t="shared" si="38"/>
        <v>0</v>
      </c>
      <c r="T30" s="19">
        <f t="shared" si="38"/>
        <v>27</v>
      </c>
      <c r="U30" s="19">
        <f t="shared" si="38"/>
        <v>0</v>
      </c>
      <c r="V30" s="19">
        <f t="shared" si="38"/>
        <v>32</v>
      </c>
      <c r="W30" s="19">
        <f t="shared" si="38"/>
        <v>0</v>
      </c>
      <c r="X30" s="19">
        <f t="shared" si="38"/>
        <v>4</v>
      </c>
      <c r="Y30" s="19">
        <f t="shared" si="38"/>
        <v>0</v>
      </c>
      <c r="Z30" s="19">
        <f t="shared" si="38"/>
        <v>0</v>
      </c>
      <c r="AA30" s="19">
        <f t="shared" si="38"/>
        <v>0</v>
      </c>
      <c r="AB30" s="19">
        <f t="shared" si="38"/>
        <v>0</v>
      </c>
      <c r="AC30" s="19">
        <f t="shared" si="38"/>
        <v>0</v>
      </c>
      <c r="AD30" s="29" t="s">
        <v>32</v>
      </c>
      <c r="AE30" s="19">
        <f t="shared" si="21"/>
        <v>181</v>
      </c>
      <c r="AF30" s="19">
        <f t="shared" si="19"/>
        <v>0</v>
      </c>
      <c r="AG30" s="19">
        <f t="shared" si="19"/>
        <v>31</v>
      </c>
      <c r="AH30" s="19">
        <f t="shared" si="19"/>
        <v>0</v>
      </c>
      <c r="AI30" s="19">
        <f aca="true" t="shared" si="39" ref="AI30:BF30">AI31+AI32</f>
        <v>0</v>
      </c>
      <c r="AJ30" s="19">
        <f t="shared" si="39"/>
        <v>0</v>
      </c>
      <c r="AK30" s="19">
        <f t="shared" si="39"/>
        <v>0</v>
      </c>
      <c r="AL30" s="19">
        <f t="shared" si="39"/>
        <v>0</v>
      </c>
      <c r="AM30" s="19">
        <f t="shared" si="39"/>
        <v>154</v>
      </c>
      <c r="AN30" s="19">
        <f t="shared" si="39"/>
        <v>0</v>
      </c>
      <c r="AO30" s="19">
        <f t="shared" si="39"/>
        <v>29</v>
      </c>
      <c r="AP30" s="19">
        <f t="shared" si="39"/>
        <v>0</v>
      </c>
      <c r="AQ30" s="19">
        <f t="shared" si="39"/>
        <v>32</v>
      </c>
      <c r="AR30" s="19">
        <f t="shared" si="39"/>
        <v>0</v>
      </c>
      <c r="AS30" s="19">
        <f t="shared" si="39"/>
        <v>5</v>
      </c>
      <c r="AT30" s="19">
        <f t="shared" si="39"/>
        <v>0</v>
      </c>
      <c r="AU30" s="19">
        <f t="shared" si="39"/>
        <v>0</v>
      </c>
      <c r="AV30" s="19">
        <f t="shared" si="39"/>
        <v>0</v>
      </c>
      <c r="AW30" s="19">
        <f t="shared" si="39"/>
        <v>0</v>
      </c>
      <c r="AX30" s="19">
        <f t="shared" si="39"/>
        <v>0</v>
      </c>
      <c r="AY30" s="19">
        <f t="shared" si="39"/>
        <v>186</v>
      </c>
      <c r="AZ30" s="19">
        <f t="shared" si="39"/>
        <v>0</v>
      </c>
      <c r="BA30" s="19">
        <f t="shared" si="39"/>
        <v>34</v>
      </c>
      <c r="BB30" s="19">
        <f t="shared" si="39"/>
        <v>0</v>
      </c>
      <c r="BC30" s="19">
        <f t="shared" si="39"/>
        <v>-5</v>
      </c>
      <c r="BD30" s="19">
        <f t="shared" si="39"/>
        <v>0</v>
      </c>
      <c r="BE30" s="19">
        <f t="shared" si="39"/>
        <v>-3</v>
      </c>
      <c r="BF30" s="19">
        <f t="shared" si="39"/>
        <v>0</v>
      </c>
    </row>
    <row r="31" spans="1:58" ht="16.5" customHeight="1">
      <c r="A31" s="19"/>
      <c r="B31" s="19"/>
      <c r="C31" s="19"/>
      <c r="D31" s="19"/>
      <c r="E31" s="19"/>
      <c r="F31" s="19"/>
      <c r="G31" s="19"/>
      <c r="H31" s="19"/>
      <c r="I31" s="19">
        <f aca="true" t="shared" si="40" ref="I31:L33">+A31-E31</f>
        <v>0</v>
      </c>
      <c r="J31" s="19">
        <f t="shared" si="40"/>
        <v>0</v>
      </c>
      <c r="K31" s="19">
        <f t="shared" si="40"/>
        <v>0</v>
      </c>
      <c r="L31" s="19">
        <f t="shared" si="40"/>
        <v>0</v>
      </c>
      <c r="M31" s="26" t="s">
        <v>48</v>
      </c>
      <c r="N31" s="19"/>
      <c r="O31" s="19"/>
      <c r="P31" s="19"/>
      <c r="Q31" s="19"/>
      <c r="R31" s="19">
        <v>142</v>
      </c>
      <c r="S31" s="19"/>
      <c r="T31" s="19">
        <v>26</v>
      </c>
      <c r="U31" s="19"/>
      <c r="V31" s="19">
        <v>32</v>
      </c>
      <c r="W31" s="19"/>
      <c r="X31" s="19">
        <v>4</v>
      </c>
      <c r="Y31" s="19"/>
      <c r="Z31" s="19"/>
      <c r="AA31" s="19"/>
      <c r="AB31" s="19"/>
      <c r="AC31" s="19"/>
      <c r="AD31" s="26" t="s">
        <v>48</v>
      </c>
      <c r="AE31" s="19">
        <f t="shared" si="21"/>
        <v>174</v>
      </c>
      <c r="AF31" s="19">
        <f aca="true" t="shared" si="41" ref="AF31:AF84">O31+S31+W31+AA31</f>
        <v>0</v>
      </c>
      <c r="AG31" s="19">
        <f aca="true" t="shared" si="42" ref="AG31:AG84">P31+T31+X31+AB31</f>
        <v>30</v>
      </c>
      <c r="AH31" s="19">
        <f aca="true" t="shared" si="43" ref="AH31:AH84">Q31+U31+Y31+AC31</f>
        <v>0</v>
      </c>
      <c r="AI31" s="19"/>
      <c r="AJ31" s="19"/>
      <c r="AK31" s="19"/>
      <c r="AL31" s="19"/>
      <c r="AM31" s="19">
        <v>147</v>
      </c>
      <c r="AN31" s="19"/>
      <c r="AO31" s="19">
        <v>26</v>
      </c>
      <c r="AP31" s="19">
        <v>0</v>
      </c>
      <c r="AQ31" s="19">
        <v>32</v>
      </c>
      <c r="AR31" s="19"/>
      <c r="AS31" s="19">
        <v>5</v>
      </c>
      <c r="AT31" s="19"/>
      <c r="AU31" s="19"/>
      <c r="AV31" s="19"/>
      <c r="AW31" s="19"/>
      <c r="AX31" s="19">
        <v>0</v>
      </c>
      <c r="AY31" s="19">
        <f aca="true" t="shared" si="44" ref="AY31:BB32">AI31+AM31+AQ31+AU31</f>
        <v>179</v>
      </c>
      <c r="AZ31" s="19">
        <f t="shared" si="44"/>
        <v>0</v>
      </c>
      <c r="BA31" s="19">
        <f t="shared" si="44"/>
        <v>31</v>
      </c>
      <c r="BB31" s="19">
        <f t="shared" si="44"/>
        <v>0</v>
      </c>
      <c r="BC31" s="19">
        <f aca="true" t="shared" si="45" ref="BC31:BF32">AE31-AY31</f>
        <v>-5</v>
      </c>
      <c r="BD31" s="19">
        <f t="shared" si="45"/>
        <v>0</v>
      </c>
      <c r="BE31" s="19">
        <f t="shared" si="45"/>
        <v>-1</v>
      </c>
      <c r="BF31" s="19">
        <f t="shared" si="45"/>
        <v>0</v>
      </c>
    </row>
    <row r="32" spans="1:58" ht="16.5" customHeight="1">
      <c r="A32" s="19"/>
      <c r="B32" s="19"/>
      <c r="C32" s="19"/>
      <c r="D32" s="19"/>
      <c r="E32" s="19"/>
      <c r="F32" s="19"/>
      <c r="G32" s="19"/>
      <c r="H32" s="19"/>
      <c r="I32" s="19">
        <f t="shared" si="40"/>
        <v>0</v>
      </c>
      <c r="J32" s="19">
        <f t="shared" si="40"/>
        <v>0</v>
      </c>
      <c r="K32" s="19">
        <f t="shared" si="40"/>
        <v>0</v>
      </c>
      <c r="L32" s="19">
        <f t="shared" si="40"/>
        <v>0</v>
      </c>
      <c r="M32" s="26" t="s">
        <v>49</v>
      </c>
      <c r="N32" s="19"/>
      <c r="O32" s="19"/>
      <c r="P32" s="19"/>
      <c r="Q32" s="19"/>
      <c r="R32" s="19">
        <v>7</v>
      </c>
      <c r="S32" s="19"/>
      <c r="T32" s="19">
        <v>1</v>
      </c>
      <c r="U32" s="19"/>
      <c r="V32" s="19"/>
      <c r="W32" s="19"/>
      <c r="X32" s="19"/>
      <c r="Y32" s="19"/>
      <c r="Z32" s="19"/>
      <c r="AA32" s="19"/>
      <c r="AB32" s="19"/>
      <c r="AC32" s="19"/>
      <c r="AD32" s="26" t="s">
        <v>49</v>
      </c>
      <c r="AE32" s="19">
        <f t="shared" si="21"/>
        <v>7</v>
      </c>
      <c r="AF32" s="19">
        <f t="shared" si="41"/>
        <v>0</v>
      </c>
      <c r="AG32" s="19">
        <f t="shared" si="42"/>
        <v>1</v>
      </c>
      <c r="AH32" s="19">
        <f t="shared" si="43"/>
        <v>0</v>
      </c>
      <c r="AI32" s="19"/>
      <c r="AJ32" s="19"/>
      <c r="AK32" s="19"/>
      <c r="AL32" s="19"/>
      <c r="AM32" s="19">
        <v>7</v>
      </c>
      <c r="AN32" s="19"/>
      <c r="AO32" s="19">
        <v>3</v>
      </c>
      <c r="AP32" s="19"/>
      <c r="AQ32" s="19"/>
      <c r="AR32" s="19"/>
      <c r="AS32" s="19"/>
      <c r="AT32" s="19"/>
      <c r="AU32" s="19"/>
      <c r="AV32" s="19"/>
      <c r="AW32" s="19"/>
      <c r="AX32" s="19">
        <v>0</v>
      </c>
      <c r="AY32" s="19">
        <f t="shared" si="44"/>
        <v>7</v>
      </c>
      <c r="AZ32" s="19">
        <f t="shared" si="44"/>
        <v>0</v>
      </c>
      <c r="BA32" s="19">
        <f t="shared" si="44"/>
        <v>3</v>
      </c>
      <c r="BB32" s="19">
        <f t="shared" si="44"/>
        <v>0</v>
      </c>
      <c r="BC32" s="19">
        <f t="shared" si="45"/>
        <v>0</v>
      </c>
      <c r="BD32" s="19">
        <f t="shared" si="45"/>
        <v>0</v>
      </c>
      <c r="BE32" s="19">
        <f t="shared" si="45"/>
        <v>-2</v>
      </c>
      <c r="BF32" s="19">
        <f t="shared" si="45"/>
        <v>0</v>
      </c>
    </row>
    <row r="33" spans="1:58" ht="16.5" customHeight="1">
      <c r="A33" s="19"/>
      <c r="B33" s="19"/>
      <c r="C33" s="19"/>
      <c r="D33" s="19"/>
      <c r="E33" s="19"/>
      <c r="F33" s="19"/>
      <c r="G33" s="19"/>
      <c r="H33" s="19"/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29" t="s">
        <v>33</v>
      </c>
      <c r="N33" s="19">
        <f aca="true" t="shared" si="46" ref="N33:AC33">N34+N35</f>
        <v>0</v>
      </c>
      <c r="O33" s="19">
        <f t="shared" si="46"/>
        <v>0</v>
      </c>
      <c r="P33" s="19">
        <f t="shared" si="46"/>
        <v>0</v>
      </c>
      <c r="Q33" s="19">
        <f t="shared" si="46"/>
        <v>0</v>
      </c>
      <c r="R33" s="19">
        <f t="shared" si="46"/>
        <v>997</v>
      </c>
      <c r="S33" s="19">
        <f t="shared" si="46"/>
        <v>110</v>
      </c>
      <c r="T33" s="19">
        <f t="shared" si="46"/>
        <v>206</v>
      </c>
      <c r="U33" s="19">
        <f t="shared" si="46"/>
        <v>3</v>
      </c>
      <c r="V33" s="19">
        <f t="shared" si="46"/>
        <v>198</v>
      </c>
      <c r="W33" s="19">
        <f t="shared" si="46"/>
        <v>35</v>
      </c>
      <c r="X33" s="19">
        <f t="shared" si="46"/>
        <v>20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29" t="s">
        <v>33</v>
      </c>
      <c r="AE33" s="19">
        <f t="shared" si="21"/>
        <v>1195</v>
      </c>
      <c r="AF33" s="19">
        <f t="shared" si="41"/>
        <v>145</v>
      </c>
      <c r="AG33" s="19">
        <f t="shared" si="42"/>
        <v>226</v>
      </c>
      <c r="AH33" s="19">
        <f t="shared" si="43"/>
        <v>3</v>
      </c>
      <c r="AI33" s="19">
        <f aca="true" t="shared" si="47" ref="AI33:BF33">AI34+AI35</f>
        <v>0</v>
      </c>
      <c r="AJ33" s="19">
        <f t="shared" si="47"/>
        <v>0</v>
      </c>
      <c r="AK33" s="19">
        <f t="shared" si="47"/>
        <v>0</v>
      </c>
      <c r="AL33" s="19">
        <f t="shared" si="47"/>
        <v>0</v>
      </c>
      <c r="AM33" s="19">
        <f t="shared" si="47"/>
        <v>1050</v>
      </c>
      <c r="AN33" s="19">
        <f t="shared" si="47"/>
        <v>97</v>
      </c>
      <c r="AO33" s="19">
        <f t="shared" si="47"/>
        <v>216</v>
      </c>
      <c r="AP33" s="19">
        <f t="shared" si="47"/>
        <v>3</v>
      </c>
      <c r="AQ33" s="19">
        <f t="shared" si="47"/>
        <v>234</v>
      </c>
      <c r="AR33" s="19">
        <f t="shared" si="47"/>
        <v>21</v>
      </c>
      <c r="AS33" s="19">
        <f t="shared" si="47"/>
        <v>22</v>
      </c>
      <c r="AT33" s="19">
        <f t="shared" si="47"/>
        <v>0</v>
      </c>
      <c r="AU33" s="19">
        <f t="shared" si="47"/>
        <v>0</v>
      </c>
      <c r="AV33" s="19">
        <f t="shared" si="47"/>
        <v>0</v>
      </c>
      <c r="AW33" s="19">
        <f t="shared" si="47"/>
        <v>0</v>
      </c>
      <c r="AX33" s="19">
        <f t="shared" si="47"/>
        <v>0</v>
      </c>
      <c r="AY33" s="19">
        <f t="shared" si="47"/>
        <v>1284</v>
      </c>
      <c r="AZ33" s="19">
        <f t="shared" si="47"/>
        <v>118</v>
      </c>
      <c r="BA33" s="19">
        <f t="shared" si="47"/>
        <v>238</v>
      </c>
      <c r="BB33" s="19">
        <f t="shared" si="47"/>
        <v>3</v>
      </c>
      <c r="BC33" s="19">
        <f t="shared" si="47"/>
        <v>-89</v>
      </c>
      <c r="BD33" s="19">
        <f t="shared" si="47"/>
        <v>27</v>
      </c>
      <c r="BE33" s="19">
        <f t="shared" si="47"/>
        <v>-12</v>
      </c>
      <c r="BF33" s="19">
        <f t="shared" si="47"/>
        <v>0</v>
      </c>
    </row>
    <row r="34" spans="1:58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6" t="s">
        <v>48</v>
      </c>
      <c r="N34" s="19"/>
      <c r="O34" s="19"/>
      <c r="P34" s="19"/>
      <c r="Q34" s="19"/>
      <c r="R34" s="19">
        <v>996</v>
      </c>
      <c r="S34" s="19">
        <v>108</v>
      </c>
      <c r="T34" s="19">
        <v>206</v>
      </c>
      <c r="U34" s="19"/>
      <c r="V34" s="19">
        <v>198</v>
      </c>
      <c r="W34" s="19">
        <v>35</v>
      </c>
      <c r="X34" s="19">
        <v>20</v>
      </c>
      <c r="Y34" s="19"/>
      <c r="Z34" s="19"/>
      <c r="AA34" s="19"/>
      <c r="AB34" s="19"/>
      <c r="AC34" s="19"/>
      <c r="AD34" s="26" t="s">
        <v>48</v>
      </c>
      <c r="AE34" s="19">
        <f t="shared" si="21"/>
        <v>1194</v>
      </c>
      <c r="AF34" s="19">
        <f t="shared" si="41"/>
        <v>143</v>
      </c>
      <c r="AG34" s="19">
        <f t="shared" si="42"/>
        <v>226</v>
      </c>
      <c r="AH34" s="19">
        <f t="shared" si="43"/>
        <v>0</v>
      </c>
      <c r="AI34" s="19"/>
      <c r="AJ34" s="19"/>
      <c r="AK34" s="19"/>
      <c r="AL34" s="19"/>
      <c r="AM34" s="19">
        <v>1047</v>
      </c>
      <c r="AN34" s="19">
        <v>95</v>
      </c>
      <c r="AO34" s="19">
        <v>216</v>
      </c>
      <c r="AP34" s="19">
        <v>0</v>
      </c>
      <c r="AQ34" s="19">
        <v>234</v>
      </c>
      <c r="AR34" s="19">
        <v>21</v>
      </c>
      <c r="AS34" s="19">
        <v>22</v>
      </c>
      <c r="AT34" s="19"/>
      <c r="AU34" s="19"/>
      <c r="AV34" s="19"/>
      <c r="AW34" s="19"/>
      <c r="AX34" s="19"/>
      <c r="AY34" s="19">
        <f aca="true" t="shared" si="48" ref="AY34:BB35">AI34+AM34+AQ34+AU34</f>
        <v>1281</v>
      </c>
      <c r="AZ34" s="19">
        <f t="shared" si="48"/>
        <v>116</v>
      </c>
      <c r="BA34" s="19">
        <f t="shared" si="48"/>
        <v>238</v>
      </c>
      <c r="BB34" s="19">
        <f t="shared" si="48"/>
        <v>0</v>
      </c>
      <c r="BC34" s="19">
        <f aca="true" t="shared" si="49" ref="BC34:BF35">AE34-AY34</f>
        <v>-87</v>
      </c>
      <c r="BD34" s="19">
        <f t="shared" si="49"/>
        <v>27</v>
      </c>
      <c r="BE34" s="19">
        <f t="shared" si="49"/>
        <v>-12</v>
      </c>
      <c r="BF34" s="19">
        <f t="shared" si="49"/>
        <v>0</v>
      </c>
    </row>
    <row r="35" spans="1:58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6" t="s">
        <v>49</v>
      </c>
      <c r="N35" s="19"/>
      <c r="O35" s="19"/>
      <c r="P35" s="19"/>
      <c r="Q35" s="19"/>
      <c r="R35" s="19">
        <v>1</v>
      </c>
      <c r="S35" s="19">
        <v>2</v>
      </c>
      <c r="T35" s="19"/>
      <c r="U35" s="19">
        <v>3</v>
      </c>
      <c r="V35" s="19"/>
      <c r="W35" s="19"/>
      <c r="X35" s="19"/>
      <c r="Y35" s="19"/>
      <c r="Z35" s="19"/>
      <c r="AA35" s="19"/>
      <c r="AB35" s="19"/>
      <c r="AC35" s="19"/>
      <c r="AD35" s="26" t="s">
        <v>49</v>
      </c>
      <c r="AE35" s="19">
        <f t="shared" si="21"/>
        <v>1</v>
      </c>
      <c r="AF35" s="19">
        <f t="shared" si="41"/>
        <v>2</v>
      </c>
      <c r="AG35" s="19">
        <f t="shared" si="42"/>
        <v>0</v>
      </c>
      <c r="AH35" s="19">
        <f t="shared" si="43"/>
        <v>3</v>
      </c>
      <c r="AI35" s="19"/>
      <c r="AJ35" s="19"/>
      <c r="AK35" s="19"/>
      <c r="AL35" s="19"/>
      <c r="AM35" s="19">
        <v>3</v>
      </c>
      <c r="AN35" s="19">
        <v>2</v>
      </c>
      <c r="AO35" s="19"/>
      <c r="AP35" s="19">
        <v>3</v>
      </c>
      <c r="AQ35" s="19"/>
      <c r="AR35" s="19"/>
      <c r="AS35" s="19"/>
      <c r="AT35" s="19"/>
      <c r="AU35" s="19"/>
      <c r="AV35" s="19"/>
      <c r="AW35" s="19"/>
      <c r="AX35" s="19"/>
      <c r="AY35" s="19">
        <f t="shared" si="48"/>
        <v>3</v>
      </c>
      <c r="AZ35" s="19">
        <f t="shared" si="48"/>
        <v>2</v>
      </c>
      <c r="BA35" s="19">
        <f t="shared" si="48"/>
        <v>0</v>
      </c>
      <c r="BB35" s="19">
        <f t="shared" si="48"/>
        <v>3</v>
      </c>
      <c r="BC35" s="19">
        <f t="shared" si="49"/>
        <v>-2</v>
      </c>
      <c r="BD35" s="19">
        <f t="shared" si="49"/>
        <v>0</v>
      </c>
      <c r="BE35" s="19">
        <f t="shared" si="49"/>
        <v>0</v>
      </c>
      <c r="BF35" s="19">
        <f t="shared" si="49"/>
        <v>0</v>
      </c>
    </row>
    <row r="36" spans="1:58" s="8" customFormat="1" ht="16.5" customHeight="1">
      <c r="A36" s="10"/>
      <c r="B36" s="10"/>
      <c r="C36" s="10"/>
      <c r="D36" s="10"/>
      <c r="E36" s="10"/>
      <c r="F36" s="10"/>
      <c r="G36" s="10"/>
      <c r="H36" s="10"/>
      <c r="I36" s="10">
        <f>+A36-E36</f>
        <v>0</v>
      </c>
      <c r="J36" s="10">
        <f>+B36-F36</f>
        <v>0</v>
      </c>
      <c r="K36" s="10">
        <f>+C36-G36</f>
        <v>0</v>
      </c>
      <c r="L36" s="10">
        <f>+D36-H36</f>
        <v>0</v>
      </c>
      <c r="M36" s="31" t="s">
        <v>34</v>
      </c>
      <c r="N36" s="10"/>
      <c r="O36" s="10"/>
      <c r="P36" s="10"/>
      <c r="Q36" s="10"/>
      <c r="R36" s="10">
        <v>120</v>
      </c>
      <c r="S36" s="10"/>
      <c r="T36" s="10">
        <v>14</v>
      </c>
      <c r="U36" s="10"/>
      <c r="V36" s="10">
        <v>23</v>
      </c>
      <c r="W36" s="10"/>
      <c r="X36" s="10">
        <v>5</v>
      </c>
      <c r="Y36" s="10"/>
      <c r="Z36" s="10">
        <v>147</v>
      </c>
      <c r="AA36" s="10"/>
      <c r="AB36" s="10"/>
      <c r="AC36" s="10"/>
      <c r="AD36" s="33" t="s">
        <v>34</v>
      </c>
      <c r="AE36" s="19">
        <f t="shared" si="21"/>
        <v>290</v>
      </c>
      <c r="AF36" s="19">
        <f t="shared" si="41"/>
        <v>0</v>
      </c>
      <c r="AG36" s="19">
        <f t="shared" si="42"/>
        <v>19</v>
      </c>
      <c r="AH36" s="19">
        <f t="shared" si="43"/>
        <v>0</v>
      </c>
      <c r="AI36" s="10"/>
      <c r="AJ36" s="10"/>
      <c r="AK36" s="10"/>
      <c r="AL36" s="10"/>
      <c r="AM36" s="10">
        <v>136</v>
      </c>
      <c r="AN36" s="10"/>
      <c r="AO36" s="10">
        <v>15</v>
      </c>
      <c r="AP36" s="10"/>
      <c r="AQ36" s="10">
        <v>25</v>
      </c>
      <c r="AR36" s="10"/>
      <c r="AS36" s="10">
        <v>5</v>
      </c>
      <c r="AT36" s="10"/>
      <c r="AU36" s="10">
        <v>153</v>
      </c>
      <c r="AV36" s="10"/>
      <c r="AW36" s="10"/>
      <c r="AX36" s="10"/>
      <c r="AY36" s="10">
        <f>AI36+AM36+AQ36+AU36</f>
        <v>314</v>
      </c>
      <c r="AZ36" s="10">
        <f>AJ36+AN36+AR36+AV36</f>
        <v>0</v>
      </c>
      <c r="BA36" s="10">
        <f>AK36+AO36+AS36+AW36</f>
        <v>20</v>
      </c>
      <c r="BB36" s="10">
        <f>AL36+AP36+AT36+AX36</f>
        <v>0</v>
      </c>
      <c r="BC36" s="10">
        <f>AE36-AY36</f>
        <v>-24</v>
      </c>
      <c r="BD36" s="10">
        <f>AF36-AZ36</f>
        <v>0</v>
      </c>
      <c r="BE36" s="10">
        <f>AG36-BA36</f>
        <v>-1</v>
      </c>
      <c r="BF36" s="10">
        <f>AH36-BB36</f>
        <v>0</v>
      </c>
    </row>
    <row r="37" spans="1:58" s="8" customFormat="1" ht="16.5" customHeight="1">
      <c r="A37" s="10">
        <f aca="true" t="shared" si="50" ref="A37:L37">A38+A39</f>
        <v>0</v>
      </c>
      <c r="B37" s="10">
        <f t="shared" si="50"/>
        <v>0</v>
      </c>
      <c r="C37" s="10">
        <f t="shared" si="50"/>
        <v>0</v>
      </c>
      <c r="D37" s="10">
        <f t="shared" si="50"/>
        <v>0</v>
      </c>
      <c r="E37" s="10">
        <f t="shared" si="50"/>
        <v>0</v>
      </c>
      <c r="F37" s="10">
        <f t="shared" si="50"/>
        <v>0</v>
      </c>
      <c r="G37" s="10">
        <f t="shared" si="50"/>
        <v>0</v>
      </c>
      <c r="H37" s="10">
        <f t="shared" si="50"/>
        <v>0</v>
      </c>
      <c r="I37" s="10">
        <f t="shared" si="50"/>
        <v>0</v>
      </c>
      <c r="J37" s="10">
        <f t="shared" si="50"/>
        <v>0</v>
      </c>
      <c r="K37" s="10">
        <f t="shared" si="50"/>
        <v>0</v>
      </c>
      <c r="L37" s="10">
        <f t="shared" si="50"/>
        <v>0</v>
      </c>
      <c r="M37" s="31" t="s">
        <v>54</v>
      </c>
      <c r="N37" s="10">
        <f aca="true" t="shared" si="51" ref="N37:AC37">N38+N39</f>
        <v>0</v>
      </c>
      <c r="O37" s="10">
        <f t="shared" si="51"/>
        <v>0</v>
      </c>
      <c r="P37" s="10">
        <f t="shared" si="51"/>
        <v>0</v>
      </c>
      <c r="Q37" s="10">
        <f t="shared" si="51"/>
        <v>0</v>
      </c>
      <c r="R37" s="10">
        <f t="shared" si="51"/>
        <v>5819</v>
      </c>
      <c r="S37" s="10">
        <f t="shared" si="51"/>
        <v>0</v>
      </c>
      <c r="T37" s="10">
        <f t="shared" si="51"/>
        <v>773</v>
      </c>
      <c r="U37" s="10">
        <f t="shared" si="51"/>
        <v>0</v>
      </c>
      <c r="V37" s="10">
        <f t="shared" si="51"/>
        <v>296</v>
      </c>
      <c r="W37" s="10">
        <f t="shared" si="51"/>
        <v>0</v>
      </c>
      <c r="X37" s="10">
        <f t="shared" si="51"/>
        <v>127</v>
      </c>
      <c r="Y37" s="10">
        <f t="shared" si="51"/>
        <v>0</v>
      </c>
      <c r="Z37" s="10">
        <f t="shared" si="51"/>
        <v>11</v>
      </c>
      <c r="AA37" s="10">
        <f t="shared" si="51"/>
        <v>0</v>
      </c>
      <c r="AB37" s="10">
        <f t="shared" si="51"/>
        <v>107</v>
      </c>
      <c r="AC37" s="10">
        <f t="shared" si="51"/>
        <v>0</v>
      </c>
      <c r="AD37" s="33" t="s">
        <v>54</v>
      </c>
      <c r="AE37" s="19">
        <f t="shared" si="21"/>
        <v>6126</v>
      </c>
      <c r="AF37" s="19">
        <f t="shared" si="41"/>
        <v>0</v>
      </c>
      <c r="AG37" s="19">
        <f t="shared" si="42"/>
        <v>1007</v>
      </c>
      <c r="AH37" s="19">
        <f t="shared" si="43"/>
        <v>0</v>
      </c>
      <c r="AI37" s="10">
        <f aca="true" t="shared" si="52" ref="AI37:BF37">AI38+AI39</f>
        <v>0</v>
      </c>
      <c r="AJ37" s="10">
        <f t="shared" si="52"/>
        <v>0</v>
      </c>
      <c r="AK37" s="10">
        <f t="shared" si="52"/>
        <v>0</v>
      </c>
      <c r="AL37" s="10">
        <f t="shared" si="52"/>
        <v>0</v>
      </c>
      <c r="AM37" s="10">
        <f t="shared" si="52"/>
        <v>5954</v>
      </c>
      <c r="AN37" s="10">
        <f t="shared" si="52"/>
        <v>0</v>
      </c>
      <c r="AO37" s="10">
        <f t="shared" si="52"/>
        <v>822</v>
      </c>
      <c r="AP37" s="10">
        <f t="shared" si="52"/>
        <v>0</v>
      </c>
      <c r="AQ37" s="10">
        <f t="shared" si="52"/>
        <v>450</v>
      </c>
      <c r="AR37" s="10">
        <f t="shared" si="52"/>
        <v>0</v>
      </c>
      <c r="AS37" s="10">
        <f t="shared" si="52"/>
        <v>199</v>
      </c>
      <c r="AT37" s="10">
        <f t="shared" si="52"/>
        <v>0</v>
      </c>
      <c r="AU37" s="10">
        <f t="shared" si="52"/>
        <v>19</v>
      </c>
      <c r="AV37" s="10">
        <f t="shared" si="52"/>
        <v>0</v>
      </c>
      <c r="AW37" s="10">
        <f t="shared" si="52"/>
        <v>110</v>
      </c>
      <c r="AX37" s="10">
        <f t="shared" si="52"/>
        <v>0</v>
      </c>
      <c r="AY37" s="10">
        <f t="shared" si="52"/>
        <v>6423</v>
      </c>
      <c r="AZ37" s="10">
        <f t="shared" si="52"/>
        <v>0</v>
      </c>
      <c r="BA37" s="10">
        <f t="shared" si="52"/>
        <v>1131</v>
      </c>
      <c r="BB37" s="10">
        <f t="shared" si="52"/>
        <v>0</v>
      </c>
      <c r="BC37" s="10">
        <f t="shared" si="52"/>
        <v>-297</v>
      </c>
      <c r="BD37" s="10">
        <f t="shared" si="52"/>
        <v>0</v>
      </c>
      <c r="BE37" s="10">
        <f t="shared" si="52"/>
        <v>-124</v>
      </c>
      <c r="BF37" s="10">
        <f t="shared" si="52"/>
        <v>0</v>
      </c>
    </row>
    <row r="38" spans="1:58" s="8" customFormat="1" ht="16.5" customHeight="1">
      <c r="A38" s="10"/>
      <c r="B38" s="10"/>
      <c r="C38" s="10"/>
      <c r="D38" s="10"/>
      <c r="E38" s="10"/>
      <c r="F38" s="10"/>
      <c r="G38" s="10"/>
      <c r="H38" s="10"/>
      <c r="I38" s="10">
        <f aca="true" t="shared" si="53" ref="I38:L39">+A38-E38</f>
        <v>0</v>
      </c>
      <c r="J38" s="10">
        <f t="shared" si="53"/>
        <v>0</v>
      </c>
      <c r="K38" s="10">
        <f t="shared" si="53"/>
        <v>0</v>
      </c>
      <c r="L38" s="10">
        <f t="shared" si="53"/>
        <v>0</v>
      </c>
      <c r="M38" s="32" t="s">
        <v>48</v>
      </c>
      <c r="N38" s="10"/>
      <c r="O38" s="10"/>
      <c r="P38" s="10"/>
      <c r="Q38" s="10"/>
      <c r="R38" s="10">
        <f>5432+253</f>
        <v>5685</v>
      </c>
      <c r="S38" s="10"/>
      <c r="T38" s="10">
        <v>773</v>
      </c>
      <c r="U38" s="10"/>
      <c r="V38" s="10">
        <f>294+2</f>
        <v>296</v>
      </c>
      <c r="W38" s="10"/>
      <c r="X38" s="10">
        <v>127</v>
      </c>
      <c r="Y38" s="10"/>
      <c r="Z38" s="10">
        <f>6+5</f>
        <v>11</v>
      </c>
      <c r="AA38" s="10"/>
      <c r="AB38" s="10">
        <f>2+105</f>
        <v>107</v>
      </c>
      <c r="AC38" s="10"/>
      <c r="AD38" s="26" t="s">
        <v>48</v>
      </c>
      <c r="AE38" s="19">
        <f t="shared" si="21"/>
        <v>5992</v>
      </c>
      <c r="AF38" s="19">
        <f t="shared" si="41"/>
        <v>0</v>
      </c>
      <c r="AG38" s="19">
        <f t="shared" si="42"/>
        <v>1007</v>
      </c>
      <c r="AH38" s="19">
        <f t="shared" si="43"/>
        <v>0</v>
      </c>
      <c r="AI38" s="19"/>
      <c r="AJ38" s="19"/>
      <c r="AK38" s="19"/>
      <c r="AL38" s="19"/>
      <c r="AM38" s="19">
        <f>5512+287</f>
        <v>5799</v>
      </c>
      <c r="AN38" s="19"/>
      <c r="AO38" s="19">
        <v>806</v>
      </c>
      <c r="AP38" s="19"/>
      <c r="AQ38" s="19">
        <f>448+2</f>
        <v>450</v>
      </c>
      <c r="AR38" s="19"/>
      <c r="AS38" s="19">
        <v>199</v>
      </c>
      <c r="AT38" s="19"/>
      <c r="AU38" s="19">
        <f>7+11+1</f>
        <v>19</v>
      </c>
      <c r="AV38" s="19"/>
      <c r="AW38" s="19">
        <f>2+108</f>
        <v>110</v>
      </c>
      <c r="AX38" s="19"/>
      <c r="AY38" s="19">
        <f aca="true" t="shared" si="54" ref="AY38:BB39">AI38+AM38+AQ38+AU38</f>
        <v>6268</v>
      </c>
      <c r="AZ38" s="19">
        <f t="shared" si="54"/>
        <v>0</v>
      </c>
      <c r="BA38" s="19">
        <f t="shared" si="54"/>
        <v>1115</v>
      </c>
      <c r="BB38" s="19">
        <f t="shared" si="54"/>
        <v>0</v>
      </c>
      <c r="BC38" s="19">
        <f aca="true" t="shared" si="55" ref="BC38:BF39">AE38-AY38</f>
        <v>-276</v>
      </c>
      <c r="BD38" s="19">
        <f t="shared" si="55"/>
        <v>0</v>
      </c>
      <c r="BE38" s="19">
        <f t="shared" si="55"/>
        <v>-108</v>
      </c>
      <c r="BF38" s="19">
        <f t="shared" si="55"/>
        <v>0</v>
      </c>
    </row>
    <row r="39" spans="1:58" ht="16.5" customHeight="1">
      <c r="A39" s="19"/>
      <c r="B39" s="19"/>
      <c r="C39" s="19"/>
      <c r="D39" s="19"/>
      <c r="E39" s="19"/>
      <c r="F39" s="19"/>
      <c r="G39" s="19"/>
      <c r="H39" s="19"/>
      <c r="I39" s="19">
        <f t="shared" si="53"/>
        <v>0</v>
      </c>
      <c r="J39" s="19">
        <f t="shared" si="53"/>
        <v>0</v>
      </c>
      <c r="K39" s="19">
        <f t="shared" si="53"/>
        <v>0</v>
      </c>
      <c r="L39" s="19">
        <f t="shared" si="53"/>
        <v>0</v>
      </c>
      <c r="M39" s="26" t="s">
        <v>49</v>
      </c>
      <c r="N39" s="19"/>
      <c r="O39" s="19"/>
      <c r="P39" s="19"/>
      <c r="Q39" s="19"/>
      <c r="R39" s="19">
        <v>134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6" t="s">
        <v>49</v>
      </c>
      <c r="AE39" s="19">
        <f t="shared" si="21"/>
        <v>134</v>
      </c>
      <c r="AF39" s="19">
        <f t="shared" si="41"/>
        <v>0</v>
      </c>
      <c r="AG39" s="19">
        <f t="shared" si="42"/>
        <v>0</v>
      </c>
      <c r="AH39" s="19">
        <f t="shared" si="43"/>
        <v>0</v>
      </c>
      <c r="AI39" s="19"/>
      <c r="AJ39" s="19"/>
      <c r="AK39" s="19"/>
      <c r="AL39" s="19"/>
      <c r="AM39" s="19">
        <v>155</v>
      </c>
      <c r="AN39" s="19"/>
      <c r="AO39" s="19">
        <v>16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19">
        <f t="shared" si="54"/>
        <v>155</v>
      </c>
      <c r="AZ39" s="19">
        <f t="shared" si="54"/>
        <v>0</v>
      </c>
      <c r="BA39" s="19">
        <f t="shared" si="54"/>
        <v>16</v>
      </c>
      <c r="BB39" s="19">
        <f t="shared" si="54"/>
        <v>0</v>
      </c>
      <c r="BC39" s="19">
        <f t="shared" si="55"/>
        <v>-21</v>
      </c>
      <c r="BD39" s="19">
        <f t="shared" si="55"/>
        <v>0</v>
      </c>
      <c r="BE39" s="19">
        <f t="shared" si="55"/>
        <v>-16</v>
      </c>
      <c r="BF39" s="19">
        <f t="shared" si="55"/>
        <v>0</v>
      </c>
    </row>
    <row r="40" spans="1:58" s="8" customFormat="1" ht="16.5" customHeight="1">
      <c r="A40" s="10">
        <f aca="true" t="shared" si="56" ref="A40:L40">A41+A42</f>
        <v>0</v>
      </c>
      <c r="B40" s="10">
        <f t="shared" si="56"/>
        <v>0</v>
      </c>
      <c r="C40" s="10">
        <f t="shared" si="56"/>
        <v>0</v>
      </c>
      <c r="D40" s="10">
        <f t="shared" si="56"/>
        <v>0</v>
      </c>
      <c r="E40" s="10">
        <f t="shared" si="56"/>
        <v>0</v>
      </c>
      <c r="F40" s="10">
        <f t="shared" si="56"/>
        <v>0</v>
      </c>
      <c r="G40" s="10">
        <f t="shared" si="56"/>
        <v>0</v>
      </c>
      <c r="H40" s="10">
        <f t="shared" si="56"/>
        <v>0</v>
      </c>
      <c r="I40" s="10">
        <f t="shared" si="56"/>
        <v>0</v>
      </c>
      <c r="J40" s="10">
        <f t="shared" si="56"/>
        <v>0</v>
      </c>
      <c r="K40" s="10">
        <f t="shared" si="56"/>
        <v>0</v>
      </c>
      <c r="L40" s="10">
        <f t="shared" si="56"/>
        <v>0</v>
      </c>
      <c r="M40" s="31" t="s">
        <v>55</v>
      </c>
      <c r="N40" s="10">
        <f aca="true" t="shared" si="57" ref="N40:AC40">N41+N42</f>
        <v>0</v>
      </c>
      <c r="O40" s="10">
        <f t="shared" si="57"/>
        <v>0</v>
      </c>
      <c r="P40" s="10">
        <f t="shared" si="57"/>
        <v>0</v>
      </c>
      <c r="Q40" s="10">
        <f t="shared" si="57"/>
        <v>0</v>
      </c>
      <c r="R40" s="10">
        <f t="shared" si="57"/>
        <v>4778</v>
      </c>
      <c r="S40" s="10">
        <f t="shared" si="57"/>
        <v>291</v>
      </c>
      <c r="T40" s="10">
        <f t="shared" si="57"/>
        <v>705</v>
      </c>
      <c r="U40" s="10">
        <f t="shared" si="57"/>
        <v>0</v>
      </c>
      <c r="V40" s="10">
        <f t="shared" si="57"/>
        <v>275</v>
      </c>
      <c r="W40" s="10">
        <f t="shared" si="57"/>
        <v>0</v>
      </c>
      <c r="X40" s="10">
        <f t="shared" si="57"/>
        <v>27</v>
      </c>
      <c r="Y40" s="10">
        <f t="shared" si="57"/>
        <v>0</v>
      </c>
      <c r="Z40" s="10">
        <f t="shared" si="57"/>
        <v>0</v>
      </c>
      <c r="AA40" s="10">
        <f t="shared" si="57"/>
        <v>0</v>
      </c>
      <c r="AB40" s="10">
        <f t="shared" si="57"/>
        <v>0</v>
      </c>
      <c r="AC40" s="10">
        <f t="shared" si="57"/>
        <v>0</v>
      </c>
      <c r="AD40" s="48" t="s">
        <v>55</v>
      </c>
      <c r="AE40" s="19">
        <f t="shared" si="21"/>
        <v>5053</v>
      </c>
      <c r="AF40" s="19">
        <f t="shared" si="41"/>
        <v>291</v>
      </c>
      <c r="AG40" s="19">
        <f t="shared" si="42"/>
        <v>732</v>
      </c>
      <c r="AH40" s="19">
        <f t="shared" si="43"/>
        <v>0</v>
      </c>
      <c r="AI40" s="19">
        <f aca="true" t="shared" si="58" ref="AI40:BF40">AI41+AI42</f>
        <v>0</v>
      </c>
      <c r="AJ40" s="19">
        <f t="shared" si="58"/>
        <v>0</v>
      </c>
      <c r="AK40" s="19">
        <f t="shared" si="58"/>
        <v>0</v>
      </c>
      <c r="AL40" s="19">
        <f t="shared" si="58"/>
        <v>0</v>
      </c>
      <c r="AM40" s="19">
        <f t="shared" si="58"/>
        <v>4900</v>
      </c>
      <c r="AN40" s="19">
        <f t="shared" si="58"/>
        <v>95</v>
      </c>
      <c r="AO40" s="19">
        <f t="shared" si="58"/>
        <v>724</v>
      </c>
      <c r="AP40" s="19">
        <f t="shared" si="58"/>
        <v>0</v>
      </c>
      <c r="AQ40" s="19">
        <f t="shared" si="58"/>
        <v>358</v>
      </c>
      <c r="AR40" s="19">
        <f t="shared" si="58"/>
        <v>3</v>
      </c>
      <c r="AS40" s="19">
        <f t="shared" si="58"/>
        <v>27</v>
      </c>
      <c r="AT40" s="19">
        <f t="shared" si="58"/>
        <v>0</v>
      </c>
      <c r="AU40" s="19">
        <f t="shared" si="58"/>
        <v>0</v>
      </c>
      <c r="AV40" s="19">
        <f t="shared" si="58"/>
        <v>0</v>
      </c>
      <c r="AW40" s="19">
        <f t="shared" si="58"/>
        <v>0</v>
      </c>
      <c r="AX40" s="19">
        <f t="shared" si="58"/>
        <v>0</v>
      </c>
      <c r="AY40" s="19">
        <f t="shared" si="58"/>
        <v>5258</v>
      </c>
      <c r="AZ40" s="19">
        <f t="shared" si="58"/>
        <v>98</v>
      </c>
      <c r="BA40" s="19">
        <f t="shared" si="58"/>
        <v>751</v>
      </c>
      <c r="BB40" s="19">
        <f t="shared" si="58"/>
        <v>0</v>
      </c>
      <c r="BC40" s="19">
        <f t="shared" si="58"/>
        <v>-205</v>
      </c>
      <c r="BD40" s="19">
        <f t="shared" si="58"/>
        <v>193</v>
      </c>
      <c r="BE40" s="19">
        <f t="shared" si="58"/>
        <v>-19</v>
      </c>
      <c r="BF40" s="19">
        <f t="shared" si="58"/>
        <v>0</v>
      </c>
    </row>
    <row r="41" spans="1:58" ht="16.5" customHeight="1">
      <c r="A41" s="19"/>
      <c r="B41" s="19"/>
      <c r="C41" s="19"/>
      <c r="D41" s="19"/>
      <c r="E41" s="19"/>
      <c r="F41" s="19"/>
      <c r="G41" s="19"/>
      <c r="H41" s="19"/>
      <c r="I41" s="19">
        <f aca="true" t="shared" si="59" ref="I41:L42">+A41-E41</f>
        <v>0</v>
      </c>
      <c r="J41" s="19">
        <f t="shared" si="59"/>
        <v>0</v>
      </c>
      <c r="K41" s="19">
        <f t="shared" si="59"/>
        <v>0</v>
      </c>
      <c r="L41" s="19">
        <f t="shared" si="59"/>
        <v>0</v>
      </c>
      <c r="M41" s="26" t="s">
        <v>48</v>
      </c>
      <c r="N41" s="19">
        <v>0</v>
      </c>
      <c r="O41" s="19">
        <v>0</v>
      </c>
      <c r="P41" s="19">
        <v>0</v>
      </c>
      <c r="Q41" s="19"/>
      <c r="R41" s="19">
        <f>4618+146</f>
        <v>4764</v>
      </c>
      <c r="S41" s="19">
        <v>291</v>
      </c>
      <c r="T41" s="19">
        <v>705</v>
      </c>
      <c r="U41" s="19"/>
      <c r="V41" s="19">
        <v>275</v>
      </c>
      <c r="W41" s="19"/>
      <c r="X41" s="19">
        <v>27</v>
      </c>
      <c r="Y41" s="19"/>
      <c r="Z41" s="19"/>
      <c r="AA41" s="19"/>
      <c r="AB41" s="19"/>
      <c r="AC41" s="19"/>
      <c r="AD41" s="26" t="s">
        <v>48</v>
      </c>
      <c r="AE41" s="19">
        <f t="shared" si="21"/>
        <v>5039</v>
      </c>
      <c r="AF41" s="19">
        <f t="shared" si="41"/>
        <v>291</v>
      </c>
      <c r="AG41" s="19">
        <f t="shared" si="42"/>
        <v>732</v>
      </c>
      <c r="AH41" s="19">
        <f t="shared" si="43"/>
        <v>0</v>
      </c>
      <c r="AI41" s="19"/>
      <c r="AJ41" s="19"/>
      <c r="AK41" s="19"/>
      <c r="AL41" s="19"/>
      <c r="AM41" s="19">
        <v>4866</v>
      </c>
      <c r="AN41" s="19">
        <v>95</v>
      </c>
      <c r="AO41" s="19">
        <v>720</v>
      </c>
      <c r="AP41" s="19"/>
      <c r="AQ41" s="19">
        <v>358</v>
      </c>
      <c r="AR41" s="19">
        <v>3</v>
      </c>
      <c r="AS41" s="19">
        <v>27</v>
      </c>
      <c r="AT41" s="19"/>
      <c r="AU41" s="19"/>
      <c r="AV41" s="19"/>
      <c r="AW41" s="19"/>
      <c r="AX41" s="19"/>
      <c r="AY41" s="19">
        <f aca="true" t="shared" si="60" ref="AY41:BB47">AI41+AM41+AQ41+AU41</f>
        <v>5224</v>
      </c>
      <c r="AZ41" s="19">
        <f t="shared" si="60"/>
        <v>98</v>
      </c>
      <c r="BA41" s="19">
        <f t="shared" si="60"/>
        <v>747</v>
      </c>
      <c r="BB41" s="19">
        <f t="shared" si="60"/>
        <v>0</v>
      </c>
      <c r="BC41" s="19">
        <f aca="true" t="shared" si="61" ref="BC41:BF47">AE41-AY41</f>
        <v>-185</v>
      </c>
      <c r="BD41" s="19">
        <f t="shared" si="61"/>
        <v>193</v>
      </c>
      <c r="BE41" s="19">
        <f t="shared" si="61"/>
        <v>-15</v>
      </c>
      <c r="BF41" s="19">
        <f t="shared" si="61"/>
        <v>0</v>
      </c>
    </row>
    <row r="42" spans="1:58" ht="16.5" customHeight="1">
      <c r="A42" s="19"/>
      <c r="B42" s="19"/>
      <c r="C42" s="19"/>
      <c r="D42" s="19"/>
      <c r="E42" s="19"/>
      <c r="F42" s="19"/>
      <c r="G42" s="19"/>
      <c r="H42" s="19"/>
      <c r="I42" s="19">
        <f t="shared" si="59"/>
        <v>0</v>
      </c>
      <c r="J42" s="19">
        <f t="shared" si="59"/>
        <v>0</v>
      </c>
      <c r="K42" s="19">
        <f t="shared" si="59"/>
        <v>0</v>
      </c>
      <c r="L42" s="19">
        <f t="shared" si="59"/>
        <v>0</v>
      </c>
      <c r="M42" s="26" t="s">
        <v>49</v>
      </c>
      <c r="N42" s="19">
        <v>0</v>
      </c>
      <c r="O42" s="19"/>
      <c r="P42" s="19"/>
      <c r="Q42" s="19"/>
      <c r="R42" s="19">
        <v>14</v>
      </c>
      <c r="S42" s="19">
        <v>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6" t="s">
        <v>49</v>
      </c>
      <c r="AE42" s="19">
        <f t="shared" si="21"/>
        <v>14</v>
      </c>
      <c r="AF42" s="19">
        <f t="shared" si="41"/>
        <v>0</v>
      </c>
      <c r="AG42" s="19">
        <f t="shared" si="42"/>
        <v>0</v>
      </c>
      <c r="AH42" s="19">
        <f t="shared" si="43"/>
        <v>0</v>
      </c>
      <c r="AI42" s="19"/>
      <c r="AJ42" s="19"/>
      <c r="AK42" s="19"/>
      <c r="AL42" s="19"/>
      <c r="AM42" s="19">
        <v>34</v>
      </c>
      <c r="AN42" s="19"/>
      <c r="AO42" s="19">
        <v>4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>
        <f t="shared" si="60"/>
        <v>34</v>
      </c>
      <c r="AZ42" s="19">
        <f t="shared" si="60"/>
        <v>0</v>
      </c>
      <c r="BA42" s="19">
        <f t="shared" si="60"/>
        <v>4</v>
      </c>
      <c r="BB42" s="19">
        <f t="shared" si="60"/>
        <v>0</v>
      </c>
      <c r="BC42" s="19">
        <f t="shared" si="61"/>
        <v>-20</v>
      </c>
      <c r="BD42" s="19">
        <f t="shared" si="61"/>
        <v>0</v>
      </c>
      <c r="BE42" s="19">
        <f t="shared" si="61"/>
        <v>-4</v>
      </c>
      <c r="BF42" s="19">
        <f t="shared" si="61"/>
        <v>0</v>
      </c>
    </row>
    <row r="43" spans="1:58" s="8" customFormat="1" ht="16.5" customHeight="1">
      <c r="A43" s="10">
        <f aca="true" t="shared" si="62" ref="A43:L43">A44+A45</f>
        <v>0</v>
      </c>
      <c r="B43" s="10">
        <f t="shared" si="62"/>
        <v>0</v>
      </c>
      <c r="C43" s="10">
        <f t="shared" si="62"/>
        <v>0</v>
      </c>
      <c r="D43" s="10">
        <f t="shared" si="62"/>
        <v>0</v>
      </c>
      <c r="E43" s="10">
        <f t="shared" si="62"/>
        <v>0</v>
      </c>
      <c r="F43" s="10">
        <f t="shared" si="62"/>
        <v>0</v>
      </c>
      <c r="G43" s="10">
        <f t="shared" si="62"/>
        <v>0</v>
      </c>
      <c r="H43" s="10">
        <f t="shared" si="62"/>
        <v>0</v>
      </c>
      <c r="I43" s="10">
        <f t="shared" si="62"/>
        <v>0</v>
      </c>
      <c r="J43" s="10">
        <f t="shared" si="62"/>
        <v>0</v>
      </c>
      <c r="K43" s="10">
        <f t="shared" si="62"/>
        <v>0</v>
      </c>
      <c r="L43" s="10">
        <f t="shared" si="62"/>
        <v>0</v>
      </c>
      <c r="M43" s="33" t="s">
        <v>79</v>
      </c>
      <c r="N43" s="10"/>
      <c r="O43" s="10"/>
      <c r="P43" s="10"/>
      <c r="Q43" s="10"/>
      <c r="R43" s="10">
        <f>R44+R45</f>
        <v>5393</v>
      </c>
      <c r="S43" s="10">
        <f aca="true" t="shared" si="63" ref="S43:AC43">S44+S45</f>
        <v>747</v>
      </c>
      <c r="T43" s="10">
        <f t="shared" si="63"/>
        <v>797</v>
      </c>
      <c r="U43" s="10">
        <f t="shared" si="63"/>
        <v>10</v>
      </c>
      <c r="V43" s="10">
        <f t="shared" si="63"/>
        <v>360</v>
      </c>
      <c r="W43" s="10">
        <f t="shared" si="63"/>
        <v>0</v>
      </c>
      <c r="X43" s="10">
        <f t="shared" si="63"/>
        <v>23</v>
      </c>
      <c r="Y43" s="10">
        <f t="shared" si="63"/>
        <v>0</v>
      </c>
      <c r="Z43" s="10">
        <f t="shared" si="63"/>
        <v>0</v>
      </c>
      <c r="AA43" s="10">
        <f t="shared" si="63"/>
        <v>0</v>
      </c>
      <c r="AB43" s="10">
        <f t="shared" si="63"/>
        <v>0</v>
      </c>
      <c r="AC43" s="10">
        <f t="shared" si="63"/>
        <v>0</v>
      </c>
      <c r="AD43" s="29" t="s">
        <v>64</v>
      </c>
      <c r="AE43" s="19">
        <f t="shared" si="21"/>
        <v>5753</v>
      </c>
      <c r="AF43" s="19">
        <f t="shared" si="41"/>
        <v>747</v>
      </c>
      <c r="AG43" s="19">
        <f t="shared" si="42"/>
        <v>820</v>
      </c>
      <c r="AH43" s="19">
        <f t="shared" si="43"/>
        <v>10</v>
      </c>
      <c r="AI43" s="19"/>
      <c r="AJ43" s="19"/>
      <c r="AK43" s="19"/>
      <c r="AL43" s="19"/>
      <c r="AM43" s="19">
        <f aca="true" t="shared" si="64" ref="AM43:AX43">AM44+AM45</f>
        <v>6079</v>
      </c>
      <c r="AN43" s="19">
        <f t="shared" si="64"/>
        <v>80</v>
      </c>
      <c r="AO43" s="19">
        <f t="shared" si="64"/>
        <v>885</v>
      </c>
      <c r="AP43" s="19">
        <f t="shared" si="64"/>
        <v>0</v>
      </c>
      <c r="AQ43" s="19">
        <f t="shared" si="64"/>
        <v>360</v>
      </c>
      <c r="AR43" s="19">
        <f t="shared" si="64"/>
        <v>0</v>
      </c>
      <c r="AS43" s="19">
        <f t="shared" si="64"/>
        <v>23</v>
      </c>
      <c r="AT43" s="19">
        <f t="shared" si="64"/>
        <v>0</v>
      </c>
      <c r="AU43" s="19">
        <f t="shared" si="64"/>
        <v>0</v>
      </c>
      <c r="AV43" s="19">
        <f t="shared" si="64"/>
        <v>0</v>
      </c>
      <c r="AW43" s="19">
        <f t="shared" si="64"/>
        <v>0</v>
      </c>
      <c r="AX43" s="19">
        <f t="shared" si="64"/>
        <v>0</v>
      </c>
      <c r="AY43" s="19">
        <f t="shared" si="60"/>
        <v>6439</v>
      </c>
      <c r="AZ43" s="19">
        <f t="shared" si="60"/>
        <v>80</v>
      </c>
      <c r="BA43" s="19">
        <f t="shared" si="60"/>
        <v>908</v>
      </c>
      <c r="BB43" s="19">
        <f t="shared" si="60"/>
        <v>0</v>
      </c>
      <c r="BC43" s="19">
        <f t="shared" si="61"/>
        <v>-686</v>
      </c>
      <c r="BD43" s="19">
        <f t="shared" si="61"/>
        <v>667</v>
      </c>
      <c r="BE43" s="19">
        <f t="shared" si="61"/>
        <v>-88</v>
      </c>
      <c r="BF43" s="19">
        <f t="shared" si="61"/>
        <v>10</v>
      </c>
    </row>
    <row r="44" spans="1:58" ht="16.5" customHeight="1">
      <c r="A44" s="19"/>
      <c r="B44" s="19"/>
      <c r="C44" s="19"/>
      <c r="D44" s="19"/>
      <c r="E44" s="19"/>
      <c r="F44" s="19"/>
      <c r="G44" s="19"/>
      <c r="H44" s="19"/>
      <c r="I44" s="19">
        <f aca="true" t="shared" si="65" ref="I44:L47">+A44-E44</f>
        <v>0</v>
      </c>
      <c r="J44" s="19">
        <f t="shared" si="65"/>
        <v>0</v>
      </c>
      <c r="K44" s="19">
        <f t="shared" si="65"/>
        <v>0</v>
      </c>
      <c r="L44" s="19">
        <f t="shared" si="65"/>
        <v>0</v>
      </c>
      <c r="M44" s="26" t="s">
        <v>48</v>
      </c>
      <c r="N44" s="19"/>
      <c r="O44" s="19"/>
      <c r="P44" s="19"/>
      <c r="Q44" s="19"/>
      <c r="R44" s="19">
        <f>5213+166</f>
        <v>5379</v>
      </c>
      <c r="S44" s="19">
        <v>747</v>
      </c>
      <c r="T44" s="19">
        <v>797</v>
      </c>
      <c r="U44" s="19">
        <v>10</v>
      </c>
      <c r="V44" s="19">
        <v>360</v>
      </c>
      <c r="W44" s="19"/>
      <c r="X44" s="19">
        <v>23</v>
      </c>
      <c r="Y44" s="19"/>
      <c r="Z44" s="19"/>
      <c r="AA44" s="19"/>
      <c r="AB44" s="19"/>
      <c r="AC44" s="19"/>
      <c r="AD44" s="26" t="s">
        <v>48</v>
      </c>
      <c r="AE44" s="19">
        <f t="shared" si="21"/>
        <v>5739</v>
      </c>
      <c r="AF44" s="19">
        <f t="shared" si="41"/>
        <v>747</v>
      </c>
      <c r="AG44" s="19">
        <f t="shared" si="42"/>
        <v>820</v>
      </c>
      <c r="AH44" s="19">
        <f t="shared" si="43"/>
        <v>10</v>
      </c>
      <c r="AI44" s="19"/>
      <c r="AJ44" s="19"/>
      <c r="AK44" s="19"/>
      <c r="AL44" s="19"/>
      <c r="AM44" s="19">
        <f>5837+178</f>
        <v>6015</v>
      </c>
      <c r="AN44" s="19">
        <v>80</v>
      </c>
      <c r="AO44" s="19">
        <v>875</v>
      </c>
      <c r="AP44" s="19"/>
      <c r="AQ44" s="19">
        <v>360</v>
      </c>
      <c r="AR44" s="19"/>
      <c r="AS44" s="19">
        <v>23</v>
      </c>
      <c r="AT44" s="19"/>
      <c r="AU44" s="19"/>
      <c r="AV44" s="19"/>
      <c r="AW44" s="19"/>
      <c r="AX44" s="19"/>
      <c r="AY44" s="19">
        <f t="shared" si="60"/>
        <v>6375</v>
      </c>
      <c r="AZ44" s="19">
        <f t="shared" si="60"/>
        <v>80</v>
      </c>
      <c r="BA44" s="19">
        <f t="shared" si="60"/>
        <v>898</v>
      </c>
      <c r="BB44" s="19">
        <f t="shared" si="60"/>
        <v>0</v>
      </c>
      <c r="BC44" s="19">
        <f t="shared" si="61"/>
        <v>-636</v>
      </c>
      <c r="BD44" s="19">
        <f t="shared" si="61"/>
        <v>667</v>
      </c>
      <c r="BE44" s="19">
        <f t="shared" si="61"/>
        <v>-78</v>
      </c>
      <c r="BF44" s="19">
        <f t="shared" si="61"/>
        <v>10</v>
      </c>
    </row>
    <row r="45" spans="1:58" ht="16.5" customHeight="1">
      <c r="A45" s="10"/>
      <c r="B45" s="10"/>
      <c r="C45" s="10"/>
      <c r="D45" s="10"/>
      <c r="E45" s="10"/>
      <c r="F45" s="10"/>
      <c r="G45" s="10"/>
      <c r="H45" s="10"/>
      <c r="I45" s="10">
        <f t="shared" si="65"/>
        <v>0</v>
      </c>
      <c r="J45" s="10">
        <f t="shared" si="65"/>
        <v>0</v>
      </c>
      <c r="K45" s="10">
        <f t="shared" si="65"/>
        <v>0</v>
      </c>
      <c r="L45" s="10">
        <f t="shared" si="65"/>
        <v>0</v>
      </c>
      <c r="M45" s="32" t="s">
        <v>49</v>
      </c>
      <c r="N45" s="10"/>
      <c r="O45" s="10"/>
      <c r="P45" s="10"/>
      <c r="Q45" s="10"/>
      <c r="R45" s="10">
        <v>14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32" t="s">
        <v>49</v>
      </c>
      <c r="AE45" s="19">
        <f t="shared" si="21"/>
        <v>14</v>
      </c>
      <c r="AF45" s="19">
        <f t="shared" si="41"/>
        <v>0</v>
      </c>
      <c r="AG45" s="19">
        <f t="shared" si="42"/>
        <v>0</v>
      </c>
      <c r="AH45" s="19">
        <f t="shared" si="43"/>
        <v>0</v>
      </c>
      <c r="AI45" s="10"/>
      <c r="AJ45" s="10"/>
      <c r="AK45" s="10"/>
      <c r="AL45" s="10"/>
      <c r="AM45" s="10">
        <v>64</v>
      </c>
      <c r="AN45" s="10"/>
      <c r="AO45" s="10">
        <v>10</v>
      </c>
      <c r="AP45" s="10"/>
      <c r="AQ45" s="10"/>
      <c r="AR45" s="10"/>
      <c r="AS45" s="10"/>
      <c r="AT45" s="10"/>
      <c r="AU45" s="10"/>
      <c r="AV45" s="10"/>
      <c r="AW45" s="10"/>
      <c r="AX45" s="10"/>
      <c r="AY45" s="10">
        <f t="shared" si="60"/>
        <v>64</v>
      </c>
      <c r="AZ45" s="10">
        <f t="shared" si="60"/>
        <v>0</v>
      </c>
      <c r="BA45" s="10">
        <f t="shared" si="60"/>
        <v>10</v>
      </c>
      <c r="BB45" s="10">
        <f t="shared" si="60"/>
        <v>0</v>
      </c>
      <c r="BC45" s="10">
        <f t="shared" si="61"/>
        <v>-50</v>
      </c>
      <c r="BD45" s="10">
        <f t="shared" si="61"/>
        <v>0</v>
      </c>
      <c r="BE45" s="10">
        <f t="shared" si="61"/>
        <v>-10</v>
      </c>
      <c r="BF45" s="10">
        <f t="shared" si="61"/>
        <v>0</v>
      </c>
    </row>
    <row r="46" spans="1:58" ht="16.5" customHeight="1" thickBot="1">
      <c r="A46" s="34"/>
      <c r="B46" s="34"/>
      <c r="C46" s="34"/>
      <c r="D46" s="34"/>
      <c r="E46" s="34"/>
      <c r="F46" s="34"/>
      <c r="G46" s="34"/>
      <c r="H46" s="34"/>
      <c r="I46" s="34">
        <f t="shared" si="65"/>
        <v>0</v>
      </c>
      <c r="J46" s="34">
        <f t="shared" si="65"/>
        <v>0</v>
      </c>
      <c r="K46" s="34">
        <f t="shared" si="65"/>
        <v>0</v>
      </c>
      <c r="L46" s="34">
        <f t="shared" si="65"/>
        <v>0</v>
      </c>
      <c r="M46" s="52" t="s">
        <v>56</v>
      </c>
      <c r="N46" s="34">
        <v>13</v>
      </c>
      <c r="O46" s="34"/>
      <c r="P46" s="34">
        <v>199</v>
      </c>
      <c r="Q46" s="34">
        <v>1</v>
      </c>
      <c r="R46" s="34">
        <v>9</v>
      </c>
      <c r="S46" s="34"/>
      <c r="T46" s="34"/>
      <c r="U46" s="34"/>
      <c r="V46" s="34">
        <v>18</v>
      </c>
      <c r="W46" s="34"/>
      <c r="X46" s="34"/>
      <c r="Y46" s="34"/>
      <c r="Z46" s="34"/>
      <c r="AA46" s="34"/>
      <c r="AB46" s="34"/>
      <c r="AC46" s="34"/>
      <c r="AD46" s="52" t="s">
        <v>56</v>
      </c>
      <c r="AE46" s="34">
        <f t="shared" si="21"/>
        <v>40</v>
      </c>
      <c r="AF46" s="34">
        <f t="shared" si="41"/>
        <v>0</v>
      </c>
      <c r="AG46" s="34">
        <f t="shared" si="42"/>
        <v>199</v>
      </c>
      <c r="AH46" s="34">
        <f t="shared" si="43"/>
        <v>1</v>
      </c>
      <c r="AI46" s="34">
        <v>14</v>
      </c>
      <c r="AJ46" s="34"/>
      <c r="AK46" s="34">
        <v>206</v>
      </c>
      <c r="AL46" s="34">
        <v>1</v>
      </c>
      <c r="AM46" s="34">
        <v>9</v>
      </c>
      <c r="AN46" s="34"/>
      <c r="AO46" s="34"/>
      <c r="AP46" s="34"/>
      <c r="AQ46" s="34">
        <v>18</v>
      </c>
      <c r="AR46" s="34"/>
      <c r="AS46" s="34"/>
      <c r="AT46" s="34"/>
      <c r="AU46" s="34"/>
      <c r="AV46" s="34"/>
      <c r="AW46" s="34"/>
      <c r="AX46" s="34"/>
      <c r="AY46" s="34">
        <f t="shared" si="60"/>
        <v>41</v>
      </c>
      <c r="AZ46" s="34">
        <f t="shared" si="60"/>
        <v>0</v>
      </c>
      <c r="BA46" s="34">
        <f t="shared" si="60"/>
        <v>206</v>
      </c>
      <c r="BB46" s="34">
        <f t="shared" si="60"/>
        <v>1</v>
      </c>
      <c r="BC46" s="34">
        <f t="shared" si="61"/>
        <v>-1</v>
      </c>
      <c r="BD46" s="34">
        <f t="shared" si="61"/>
        <v>0</v>
      </c>
      <c r="BE46" s="34">
        <f t="shared" si="61"/>
        <v>-7</v>
      </c>
      <c r="BF46" s="34">
        <f t="shared" si="61"/>
        <v>0</v>
      </c>
    </row>
    <row r="47" spans="1:58" ht="16.5" customHeight="1">
      <c r="A47" s="10"/>
      <c r="B47" s="10"/>
      <c r="C47" s="10"/>
      <c r="D47" s="10"/>
      <c r="E47" s="10"/>
      <c r="F47" s="10"/>
      <c r="G47" s="10"/>
      <c r="H47" s="10"/>
      <c r="I47" s="10">
        <f t="shared" si="65"/>
        <v>0</v>
      </c>
      <c r="J47" s="10">
        <f t="shared" si="65"/>
        <v>0</v>
      </c>
      <c r="K47" s="10">
        <f t="shared" si="65"/>
        <v>0</v>
      </c>
      <c r="L47" s="10">
        <f t="shared" si="65"/>
        <v>0</v>
      </c>
      <c r="M47" s="33" t="s">
        <v>78</v>
      </c>
      <c r="N47" s="10">
        <v>627</v>
      </c>
      <c r="O47" s="10"/>
      <c r="P47" s="10">
        <v>4886</v>
      </c>
      <c r="Q47" s="10"/>
      <c r="R47" s="10">
        <v>225</v>
      </c>
      <c r="S47" s="10">
        <v>763</v>
      </c>
      <c r="T47" s="10">
        <v>818</v>
      </c>
      <c r="U47" s="10"/>
      <c r="V47" s="10">
        <v>203</v>
      </c>
      <c r="W47" s="10">
        <v>33</v>
      </c>
      <c r="X47" s="10">
        <v>82</v>
      </c>
      <c r="Y47" s="10"/>
      <c r="Z47" s="10">
        <f>57+8</f>
        <v>65</v>
      </c>
      <c r="AA47" s="10">
        <v>2</v>
      </c>
      <c r="AB47" s="10">
        <f>69+7</f>
        <v>76</v>
      </c>
      <c r="AC47" s="10"/>
      <c r="AD47" s="33" t="s">
        <v>78</v>
      </c>
      <c r="AE47" s="10">
        <f t="shared" si="21"/>
        <v>1120</v>
      </c>
      <c r="AF47" s="10">
        <f t="shared" si="41"/>
        <v>798</v>
      </c>
      <c r="AG47" s="10">
        <f t="shared" si="42"/>
        <v>5862</v>
      </c>
      <c r="AH47" s="10">
        <f t="shared" si="43"/>
        <v>0</v>
      </c>
      <c r="AI47" s="10">
        <v>709</v>
      </c>
      <c r="AJ47" s="10">
        <v>0</v>
      </c>
      <c r="AK47" s="10">
        <v>5252</v>
      </c>
      <c r="AL47" s="10"/>
      <c r="AM47" s="10">
        <v>291</v>
      </c>
      <c r="AN47" s="10">
        <v>908</v>
      </c>
      <c r="AO47" s="10">
        <v>844</v>
      </c>
      <c r="AP47" s="10"/>
      <c r="AQ47" s="10">
        <v>255</v>
      </c>
      <c r="AR47" s="10">
        <v>34</v>
      </c>
      <c r="AS47" s="10">
        <v>108</v>
      </c>
      <c r="AT47" s="10"/>
      <c r="AU47" s="10">
        <f>72+9</f>
        <v>81</v>
      </c>
      <c r="AV47" s="10">
        <v>3</v>
      </c>
      <c r="AW47" s="10">
        <f>85+8</f>
        <v>93</v>
      </c>
      <c r="AX47" s="10"/>
      <c r="AY47" s="10">
        <f t="shared" si="60"/>
        <v>1336</v>
      </c>
      <c r="AZ47" s="10">
        <f t="shared" si="60"/>
        <v>945</v>
      </c>
      <c r="BA47" s="10">
        <f t="shared" si="60"/>
        <v>6297</v>
      </c>
      <c r="BB47" s="10">
        <f t="shared" si="60"/>
        <v>0</v>
      </c>
      <c r="BC47" s="10">
        <f t="shared" si="61"/>
        <v>-216</v>
      </c>
      <c r="BD47" s="10">
        <f t="shared" si="61"/>
        <v>-147</v>
      </c>
      <c r="BE47" s="10">
        <f t="shared" si="61"/>
        <v>-435</v>
      </c>
      <c r="BF47" s="10">
        <f t="shared" si="61"/>
        <v>0</v>
      </c>
    </row>
    <row r="48" spans="1:58" ht="16.5" customHeight="1">
      <c r="A48" s="19">
        <f aca="true" t="shared" si="66" ref="A48:L48">A49</f>
        <v>0</v>
      </c>
      <c r="B48" s="19">
        <f t="shared" si="66"/>
        <v>0</v>
      </c>
      <c r="C48" s="19">
        <f t="shared" si="66"/>
        <v>0</v>
      </c>
      <c r="D48" s="19">
        <f t="shared" si="66"/>
        <v>0</v>
      </c>
      <c r="E48" s="19">
        <f t="shared" si="66"/>
        <v>0</v>
      </c>
      <c r="F48" s="19">
        <f t="shared" si="66"/>
        <v>0</v>
      </c>
      <c r="G48" s="19">
        <f t="shared" si="66"/>
        <v>0</v>
      </c>
      <c r="H48" s="19">
        <f t="shared" si="66"/>
        <v>0</v>
      </c>
      <c r="I48" s="19">
        <f t="shared" si="66"/>
        <v>0</v>
      </c>
      <c r="J48" s="19">
        <f t="shared" si="66"/>
        <v>0</v>
      </c>
      <c r="K48" s="19">
        <f t="shared" si="66"/>
        <v>0</v>
      </c>
      <c r="L48" s="19">
        <f t="shared" si="66"/>
        <v>0</v>
      </c>
      <c r="M48" s="27" t="s">
        <v>57</v>
      </c>
      <c r="N48" s="19">
        <f>N49</f>
        <v>0</v>
      </c>
      <c r="O48" s="19">
        <f aca="true" t="shared" si="67" ref="O48:AC48">O49</f>
        <v>0</v>
      </c>
      <c r="P48" s="19">
        <f t="shared" si="67"/>
        <v>0</v>
      </c>
      <c r="Q48" s="19">
        <f t="shared" si="67"/>
        <v>0</v>
      </c>
      <c r="R48" s="19">
        <f t="shared" si="67"/>
        <v>7</v>
      </c>
      <c r="S48" s="19">
        <f t="shared" si="67"/>
        <v>1</v>
      </c>
      <c r="T48" s="19">
        <f t="shared" si="67"/>
        <v>3</v>
      </c>
      <c r="U48" s="19">
        <f t="shared" si="67"/>
        <v>83</v>
      </c>
      <c r="V48" s="19">
        <f t="shared" si="67"/>
        <v>7</v>
      </c>
      <c r="W48" s="19">
        <f t="shared" si="67"/>
        <v>0</v>
      </c>
      <c r="X48" s="19">
        <f t="shared" si="67"/>
        <v>0</v>
      </c>
      <c r="Y48" s="19">
        <f t="shared" si="67"/>
        <v>0</v>
      </c>
      <c r="Z48" s="19">
        <f t="shared" si="67"/>
        <v>0</v>
      </c>
      <c r="AA48" s="19">
        <f t="shared" si="67"/>
        <v>0</v>
      </c>
      <c r="AB48" s="19">
        <f t="shared" si="67"/>
        <v>0</v>
      </c>
      <c r="AC48" s="19">
        <f t="shared" si="67"/>
        <v>0</v>
      </c>
      <c r="AD48" s="47" t="s">
        <v>67</v>
      </c>
      <c r="AE48" s="39">
        <f t="shared" si="21"/>
        <v>14</v>
      </c>
      <c r="AF48" s="39">
        <f t="shared" si="41"/>
        <v>1</v>
      </c>
      <c r="AG48" s="39">
        <f t="shared" si="42"/>
        <v>3</v>
      </c>
      <c r="AH48" s="39">
        <f t="shared" si="43"/>
        <v>83</v>
      </c>
      <c r="AI48" s="39">
        <f aca="true" t="shared" si="68" ref="AI48:BF48">AI49</f>
        <v>0</v>
      </c>
      <c r="AJ48" s="39">
        <f t="shared" si="68"/>
        <v>0</v>
      </c>
      <c r="AK48" s="39">
        <f t="shared" si="68"/>
        <v>0</v>
      </c>
      <c r="AL48" s="39">
        <f t="shared" si="68"/>
        <v>0</v>
      </c>
      <c r="AM48" s="39">
        <f t="shared" si="68"/>
        <v>10</v>
      </c>
      <c r="AN48" s="39">
        <f t="shared" si="68"/>
        <v>1</v>
      </c>
      <c r="AO48" s="39">
        <f t="shared" si="68"/>
        <v>5</v>
      </c>
      <c r="AP48" s="39">
        <f t="shared" si="68"/>
        <v>85</v>
      </c>
      <c r="AQ48" s="39">
        <f t="shared" si="68"/>
        <v>10</v>
      </c>
      <c r="AR48" s="39">
        <f t="shared" si="68"/>
        <v>0</v>
      </c>
      <c r="AS48" s="39">
        <f t="shared" si="68"/>
        <v>0</v>
      </c>
      <c r="AT48" s="39">
        <f t="shared" si="68"/>
        <v>0</v>
      </c>
      <c r="AU48" s="39">
        <f t="shared" si="68"/>
        <v>0</v>
      </c>
      <c r="AV48" s="39">
        <f t="shared" si="68"/>
        <v>0</v>
      </c>
      <c r="AW48" s="39">
        <f t="shared" si="68"/>
        <v>0</v>
      </c>
      <c r="AX48" s="39">
        <f t="shared" si="68"/>
        <v>0</v>
      </c>
      <c r="AY48" s="39">
        <f t="shared" si="68"/>
        <v>20</v>
      </c>
      <c r="AZ48" s="39">
        <f t="shared" si="68"/>
        <v>1</v>
      </c>
      <c r="BA48" s="39">
        <f t="shared" si="68"/>
        <v>5</v>
      </c>
      <c r="BB48" s="39">
        <f t="shared" si="68"/>
        <v>85</v>
      </c>
      <c r="BC48" s="39">
        <f t="shared" si="68"/>
        <v>-6</v>
      </c>
      <c r="BD48" s="39">
        <f t="shared" si="68"/>
        <v>0</v>
      </c>
      <c r="BE48" s="39">
        <f t="shared" si="68"/>
        <v>-2</v>
      </c>
      <c r="BF48" s="39">
        <f t="shared" si="68"/>
        <v>-2</v>
      </c>
    </row>
    <row r="49" spans="1:58" ht="16.5" customHeight="1">
      <c r="A49" s="19"/>
      <c r="B49" s="19"/>
      <c r="C49" s="19"/>
      <c r="D49" s="19"/>
      <c r="E49" s="19"/>
      <c r="F49" s="19"/>
      <c r="G49" s="19"/>
      <c r="H49" s="19"/>
      <c r="I49" s="19">
        <f>+A49-E49</f>
        <v>0</v>
      </c>
      <c r="J49" s="19">
        <f>+B49-F49</f>
        <v>0</v>
      </c>
      <c r="K49" s="19">
        <f>+C49-G49</f>
        <v>0</v>
      </c>
      <c r="L49" s="19">
        <f>+D49-H49</f>
        <v>0</v>
      </c>
      <c r="M49" s="35" t="s">
        <v>58</v>
      </c>
      <c r="N49" s="19"/>
      <c r="O49" s="19"/>
      <c r="P49" s="19"/>
      <c r="Q49" s="19"/>
      <c r="R49" s="19">
        <v>7</v>
      </c>
      <c r="S49" s="19">
        <v>1</v>
      </c>
      <c r="T49" s="19">
        <v>3</v>
      </c>
      <c r="U49" s="19">
        <v>83</v>
      </c>
      <c r="V49" s="19">
        <v>7</v>
      </c>
      <c r="W49" s="19"/>
      <c r="X49" s="19"/>
      <c r="Y49" s="19"/>
      <c r="Z49" s="19"/>
      <c r="AA49" s="19"/>
      <c r="AB49" s="19"/>
      <c r="AC49" s="19"/>
      <c r="AD49" s="35" t="s">
        <v>58</v>
      </c>
      <c r="AE49" s="19">
        <f t="shared" si="21"/>
        <v>14</v>
      </c>
      <c r="AF49" s="19">
        <f t="shared" si="41"/>
        <v>1</v>
      </c>
      <c r="AG49" s="19">
        <f t="shared" si="42"/>
        <v>3</v>
      </c>
      <c r="AH49" s="19">
        <f t="shared" si="43"/>
        <v>83</v>
      </c>
      <c r="AI49" s="19"/>
      <c r="AJ49" s="19"/>
      <c r="AK49" s="19"/>
      <c r="AL49" s="19"/>
      <c r="AM49" s="19">
        <v>10</v>
      </c>
      <c r="AN49" s="19">
        <v>1</v>
      </c>
      <c r="AO49" s="19">
        <v>5</v>
      </c>
      <c r="AP49" s="19">
        <v>85</v>
      </c>
      <c r="AQ49" s="19">
        <v>10</v>
      </c>
      <c r="AR49" s="19"/>
      <c r="AS49" s="19"/>
      <c r="AT49" s="19"/>
      <c r="AU49" s="19"/>
      <c r="AV49" s="19"/>
      <c r="AW49" s="19"/>
      <c r="AX49" s="19"/>
      <c r="AY49" s="19">
        <f>AI49+AM49+AQ49+AU49</f>
        <v>20</v>
      </c>
      <c r="AZ49" s="19">
        <f>AJ49+AN49+AR49+AV49</f>
        <v>1</v>
      </c>
      <c r="BA49" s="19">
        <f>AK49+AO49+AS49+AW49</f>
        <v>5</v>
      </c>
      <c r="BB49" s="19">
        <f>AL49+AP49+AT49+AX49</f>
        <v>85</v>
      </c>
      <c r="BC49" s="19">
        <f>AE49-AY49</f>
        <v>-6</v>
      </c>
      <c r="BD49" s="19">
        <f>AF49-AZ49</f>
        <v>0</v>
      </c>
      <c r="BE49" s="19">
        <f>AG49-BA49</f>
        <v>-2</v>
      </c>
      <c r="BF49" s="19">
        <f>AH49-BB49</f>
        <v>-2</v>
      </c>
    </row>
    <row r="50" spans="1:58" s="28" customFormat="1" ht="16.5" customHeight="1">
      <c r="A50" s="24">
        <f>A51+A52+SUM(A55:A59)</f>
        <v>1233</v>
      </c>
      <c r="B50" s="24">
        <f aca="true" t="shared" si="69" ref="B50:L50">B51+B52+SUM(B55:B59)</f>
        <v>0</v>
      </c>
      <c r="C50" s="24">
        <f t="shared" si="69"/>
        <v>599</v>
      </c>
      <c r="D50" s="24">
        <f t="shared" si="69"/>
        <v>0</v>
      </c>
      <c r="E50" s="24">
        <f t="shared" si="69"/>
        <v>1452</v>
      </c>
      <c r="F50" s="24">
        <f t="shared" si="69"/>
        <v>0</v>
      </c>
      <c r="G50" s="24">
        <f t="shared" si="69"/>
        <v>729</v>
      </c>
      <c r="H50" s="24">
        <f t="shared" si="69"/>
        <v>0</v>
      </c>
      <c r="I50" s="24">
        <f t="shared" si="69"/>
        <v>-219</v>
      </c>
      <c r="J50" s="24">
        <f t="shared" si="69"/>
        <v>0</v>
      </c>
      <c r="K50" s="24">
        <f t="shared" si="69"/>
        <v>-130</v>
      </c>
      <c r="L50" s="24">
        <f t="shared" si="69"/>
        <v>0</v>
      </c>
      <c r="M50" s="27" t="s">
        <v>35</v>
      </c>
      <c r="N50" s="24">
        <f aca="true" t="shared" si="70" ref="N50:AC50">N51+N52+SUM(N55:N59)</f>
        <v>29603</v>
      </c>
      <c r="O50" s="24">
        <f t="shared" si="70"/>
        <v>47</v>
      </c>
      <c r="P50" s="24">
        <f t="shared" si="70"/>
        <v>14903</v>
      </c>
      <c r="Q50" s="24">
        <f t="shared" si="70"/>
        <v>3816</v>
      </c>
      <c r="R50" s="24">
        <f t="shared" si="70"/>
        <v>16577</v>
      </c>
      <c r="S50" s="24">
        <f t="shared" si="70"/>
        <v>7</v>
      </c>
      <c r="T50" s="24">
        <f t="shared" si="70"/>
        <v>5413</v>
      </c>
      <c r="U50" s="24">
        <f t="shared" si="70"/>
        <v>1190</v>
      </c>
      <c r="V50" s="24">
        <f t="shared" si="70"/>
        <v>2393</v>
      </c>
      <c r="W50" s="24">
        <f t="shared" si="70"/>
        <v>27</v>
      </c>
      <c r="X50" s="24">
        <f t="shared" si="70"/>
        <v>404</v>
      </c>
      <c r="Y50" s="24">
        <f t="shared" si="70"/>
        <v>48</v>
      </c>
      <c r="Z50" s="24">
        <f t="shared" si="70"/>
        <v>1677</v>
      </c>
      <c r="AA50" s="24">
        <f t="shared" si="70"/>
        <v>0</v>
      </c>
      <c r="AB50" s="24">
        <f t="shared" si="70"/>
        <v>141</v>
      </c>
      <c r="AC50" s="24">
        <f t="shared" si="70"/>
        <v>0</v>
      </c>
      <c r="AD50" s="47" t="s">
        <v>68</v>
      </c>
      <c r="AE50" s="39">
        <f t="shared" si="21"/>
        <v>50250</v>
      </c>
      <c r="AF50" s="39">
        <f t="shared" si="41"/>
        <v>81</v>
      </c>
      <c r="AG50" s="39">
        <f t="shared" si="42"/>
        <v>20861</v>
      </c>
      <c r="AH50" s="39">
        <f t="shared" si="43"/>
        <v>5054</v>
      </c>
      <c r="AI50" s="39">
        <f aca="true" t="shared" si="71" ref="AI50:BF50">AI51+AI52+SUM(AI55:AI59)</f>
        <v>34643</v>
      </c>
      <c r="AJ50" s="39">
        <f t="shared" si="71"/>
        <v>47</v>
      </c>
      <c r="AK50" s="39">
        <f t="shared" si="71"/>
        <v>16827</v>
      </c>
      <c r="AL50" s="39">
        <f t="shared" si="71"/>
        <v>1887</v>
      </c>
      <c r="AM50" s="39">
        <f t="shared" si="71"/>
        <v>16955</v>
      </c>
      <c r="AN50" s="39">
        <f t="shared" si="71"/>
        <v>9</v>
      </c>
      <c r="AO50" s="39">
        <f t="shared" si="71"/>
        <v>5325</v>
      </c>
      <c r="AP50" s="39">
        <f t="shared" si="71"/>
        <v>4</v>
      </c>
      <c r="AQ50" s="39">
        <f t="shared" si="71"/>
        <v>2497</v>
      </c>
      <c r="AR50" s="39">
        <f t="shared" si="71"/>
        <v>34</v>
      </c>
      <c r="AS50" s="39">
        <f t="shared" si="71"/>
        <v>455</v>
      </c>
      <c r="AT50" s="39">
        <f t="shared" si="71"/>
        <v>44</v>
      </c>
      <c r="AU50" s="39">
        <f t="shared" si="71"/>
        <v>1767</v>
      </c>
      <c r="AV50" s="39">
        <f t="shared" si="71"/>
        <v>0</v>
      </c>
      <c r="AW50" s="39">
        <f t="shared" si="71"/>
        <v>188</v>
      </c>
      <c r="AX50" s="39">
        <f t="shared" si="71"/>
        <v>0</v>
      </c>
      <c r="AY50" s="39">
        <f t="shared" si="71"/>
        <v>55862</v>
      </c>
      <c r="AZ50" s="39">
        <f t="shared" si="71"/>
        <v>90</v>
      </c>
      <c r="BA50" s="39">
        <f t="shared" si="71"/>
        <v>22795</v>
      </c>
      <c r="BB50" s="39">
        <f t="shared" si="71"/>
        <v>1935</v>
      </c>
      <c r="BC50" s="39">
        <f t="shared" si="71"/>
        <v>-5612</v>
      </c>
      <c r="BD50" s="39">
        <f t="shared" si="71"/>
        <v>-9</v>
      </c>
      <c r="BE50" s="39">
        <f t="shared" si="71"/>
        <v>-1934</v>
      </c>
      <c r="BF50" s="39">
        <f t="shared" si="71"/>
        <v>3119</v>
      </c>
    </row>
    <row r="51" spans="1:58" ht="16.5" customHeight="1">
      <c r="A51" s="19"/>
      <c r="B51" s="19"/>
      <c r="C51" s="19"/>
      <c r="D51" s="19"/>
      <c r="E51" s="19"/>
      <c r="F51" s="19"/>
      <c r="G51" s="19"/>
      <c r="H51" s="19"/>
      <c r="I51" s="19">
        <f>+A51-E51</f>
        <v>0</v>
      </c>
      <c r="J51" s="19">
        <f>+B51-F51</f>
        <v>0</v>
      </c>
      <c r="K51" s="19">
        <f>+C51-G51</f>
        <v>0</v>
      </c>
      <c r="L51" s="19">
        <f>+D51-H51</f>
        <v>0</v>
      </c>
      <c r="M51" s="29" t="s">
        <v>36</v>
      </c>
      <c r="N51" s="19">
        <v>2768</v>
      </c>
      <c r="O51" s="19">
        <v>0</v>
      </c>
      <c r="P51" s="19">
        <v>8487</v>
      </c>
      <c r="Q51" s="19">
        <v>2174</v>
      </c>
      <c r="R51" s="19">
        <v>10976</v>
      </c>
      <c r="S51" s="19">
        <v>4</v>
      </c>
      <c r="T51" s="19">
        <v>2597</v>
      </c>
      <c r="U51" s="19">
        <v>1186</v>
      </c>
      <c r="V51" s="19">
        <v>303</v>
      </c>
      <c r="W51" s="19">
        <v>5</v>
      </c>
      <c r="X51" s="19">
        <v>74</v>
      </c>
      <c r="Y51" s="19">
        <v>5</v>
      </c>
      <c r="Z51" s="19">
        <v>80</v>
      </c>
      <c r="AA51" s="19"/>
      <c r="AB51" s="19">
        <v>14</v>
      </c>
      <c r="AC51" s="19"/>
      <c r="AD51" s="29" t="s">
        <v>36</v>
      </c>
      <c r="AE51" s="19">
        <f t="shared" si="21"/>
        <v>14127</v>
      </c>
      <c r="AF51" s="19">
        <f t="shared" si="41"/>
        <v>9</v>
      </c>
      <c r="AG51" s="19">
        <f t="shared" si="42"/>
        <v>11172</v>
      </c>
      <c r="AH51" s="19">
        <f t="shared" si="43"/>
        <v>3365</v>
      </c>
      <c r="AI51" s="19">
        <v>3848</v>
      </c>
      <c r="AJ51" s="19"/>
      <c r="AK51" s="19">
        <v>9487</v>
      </c>
      <c r="AL51" s="19"/>
      <c r="AM51" s="19">
        <v>11529</v>
      </c>
      <c r="AN51" s="19">
        <v>4</v>
      </c>
      <c r="AO51" s="19">
        <v>3261</v>
      </c>
      <c r="AP51" s="19">
        <v>0</v>
      </c>
      <c r="AQ51" s="19">
        <v>335</v>
      </c>
      <c r="AR51" s="19">
        <v>7</v>
      </c>
      <c r="AS51" s="19">
        <v>103</v>
      </c>
      <c r="AT51" s="19">
        <v>0</v>
      </c>
      <c r="AU51" s="19">
        <v>79</v>
      </c>
      <c r="AV51" s="19"/>
      <c r="AW51" s="19">
        <v>20</v>
      </c>
      <c r="AX51" s="19"/>
      <c r="AY51" s="19">
        <f>AI51+AM51+AQ51+AU51</f>
        <v>15791</v>
      </c>
      <c r="AZ51" s="19">
        <f>AJ51+AN51+AR51+AV51</f>
        <v>11</v>
      </c>
      <c r="BA51" s="19">
        <f>AK51+AO51+AS51+AW51</f>
        <v>12871</v>
      </c>
      <c r="BB51" s="19">
        <f>AL51+AP51+AT51+AX51</f>
        <v>0</v>
      </c>
      <c r="BC51" s="19">
        <f>AE51-AY51</f>
        <v>-1664</v>
      </c>
      <c r="BD51" s="19">
        <f>AF51-AZ51</f>
        <v>-2</v>
      </c>
      <c r="BE51" s="19">
        <f>AG51-BA51</f>
        <v>-1699</v>
      </c>
      <c r="BF51" s="19">
        <f>AH51-BB51</f>
        <v>3365</v>
      </c>
    </row>
    <row r="52" spans="1:58" ht="16.5" customHeight="1">
      <c r="A52" s="19">
        <f>A53+A54</f>
        <v>1233</v>
      </c>
      <c r="B52" s="19">
        <f aca="true" t="shared" si="72" ref="B52:L52">B53+B54</f>
        <v>0</v>
      </c>
      <c r="C52" s="19">
        <f t="shared" si="72"/>
        <v>599</v>
      </c>
      <c r="D52" s="19">
        <f t="shared" si="72"/>
        <v>0</v>
      </c>
      <c r="E52" s="19">
        <f t="shared" si="72"/>
        <v>1452</v>
      </c>
      <c r="F52" s="19">
        <f t="shared" si="72"/>
        <v>0</v>
      </c>
      <c r="G52" s="19">
        <f t="shared" si="72"/>
        <v>729</v>
      </c>
      <c r="H52" s="19">
        <f t="shared" si="72"/>
        <v>0</v>
      </c>
      <c r="I52" s="19">
        <f t="shared" si="72"/>
        <v>-219</v>
      </c>
      <c r="J52" s="19">
        <f t="shared" si="72"/>
        <v>0</v>
      </c>
      <c r="K52" s="19">
        <f t="shared" si="72"/>
        <v>-130</v>
      </c>
      <c r="L52" s="19">
        <f t="shared" si="72"/>
        <v>0</v>
      </c>
      <c r="M52" s="29" t="s">
        <v>37</v>
      </c>
      <c r="N52" s="19">
        <f aca="true" t="shared" si="73" ref="N52:AB52">N53+N54</f>
        <v>11007</v>
      </c>
      <c r="O52" s="19">
        <f t="shared" si="73"/>
        <v>0</v>
      </c>
      <c r="P52" s="19">
        <f t="shared" si="73"/>
        <v>5230</v>
      </c>
      <c r="Q52" s="19">
        <f t="shared" si="73"/>
        <v>0</v>
      </c>
      <c r="R52" s="19">
        <f t="shared" si="73"/>
        <v>5257</v>
      </c>
      <c r="S52" s="19">
        <f t="shared" si="73"/>
        <v>0</v>
      </c>
      <c r="T52" s="19">
        <f t="shared" si="73"/>
        <v>2742</v>
      </c>
      <c r="U52" s="19">
        <f t="shared" si="73"/>
        <v>0</v>
      </c>
      <c r="V52" s="19">
        <f t="shared" si="73"/>
        <v>1117</v>
      </c>
      <c r="W52" s="19">
        <f t="shared" si="73"/>
        <v>0</v>
      </c>
      <c r="X52" s="19">
        <f t="shared" si="73"/>
        <v>143</v>
      </c>
      <c r="Y52" s="19">
        <f t="shared" si="73"/>
        <v>0</v>
      </c>
      <c r="Z52" s="19">
        <f t="shared" si="73"/>
        <v>1526</v>
      </c>
      <c r="AA52" s="19">
        <f t="shared" si="73"/>
        <v>0</v>
      </c>
      <c r="AB52" s="19">
        <f t="shared" si="73"/>
        <v>115</v>
      </c>
      <c r="AC52" s="19"/>
      <c r="AD52" s="29" t="s">
        <v>37</v>
      </c>
      <c r="AE52" s="19">
        <f t="shared" si="21"/>
        <v>18907</v>
      </c>
      <c r="AF52" s="19">
        <f t="shared" si="41"/>
        <v>0</v>
      </c>
      <c r="AG52" s="19">
        <f t="shared" si="42"/>
        <v>8230</v>
      </c>
      <c r="AH52" s="19">
        <f t="shared" si="43"/>
        <v>0</v>
      </c>
      <c r="AI52" s="19">
        <f aca="true" t="shared" si="74" ref="AI52:AW52">AI53++AI54</f>
        <v>13179</v>
      </c>
      <c r="AJ52" s="19">
        <f t="shared" si="74"/>
        <v>0</v>
      </c>
      <c r="AK52" s="19">
        <f t="shared" si="74"/>
        <v>6066</v>
      </c>
      <c r="AL52" s="19">
        <f t="shared" si="74"/>
        <v>0</v>
      </c>
      <c r="AM52" s="19">
        <f t="shared" si="74"/>
        <v>4983</v>
      </c>
      <c r="AN52" s="19">
        <f t="shared" si="74"/>
        <v>0</v>
      </c>
      <c r="AO52" s="19">
        <f t="shared" si="74"/>
        <v>1969</v>
      </c>
      <c r="AP52" s="19">
        <f t="shared" si="74"/>
        <v>0</v>
      </c>
      <c r="AQ52" s="19">
        <f t="shared" si="74"/>
        <v>1150</v>
      </c>
      <c r="AR52" s="19">
        <f t="shared" si="74"/>
        <v>0</v>
      </c>
      <c r="AS52" s="19">
        <f t="shared" si="74"/>
        <v>136</v>
      </c>
      <c r="AT52" s="19">
        <f t="shared" si="74"/>
        <v>0</v>
      </c>
      <c r="AU52" s="19">
        <f t="shared" si="74"/>
        <v>1610</v>
      </c>
      <c r="AV52" s="19">
        <f t="shared" si="74"/>
        <v>0</v>
      </c>
      <c r="AW52" s="19">
        <f t="shared" si="74"/>
        <v>148</v>
      </c>
      <c r="AX52" s="19">
        <f aca="true" t="shared" si="75" ref="AX52:BF52">AX53+AX54</f>
        <v>0</v>
      </c>
      <c r="AY52" s="19">
        <f t="shared" si="75"/>
        <v>20922</v>
      </c>
      <c r="AZ52" s="19">
        <f t="shared" si="75"/>
        <v>0</v>
      </c>
      <c r="BA52" s="19">
        <f t="shared" si="75"/>
        <v>8319</v>
      </c>
      <c r="BB52" s="19">
        <f t="shared" si="75"/>
        <v>0</v>
      </c>
      <c r="BC52" s="19">
        <f t="shared" si="75"/>
        <v>-2015</v>
      </c>
      <c r="BD52" s="19">
        <f t="shared" si="75"/>
        <v>0</v>
      </c>
      <c r="BE52" s="19">
        <f t="shared" si="75"/>
        <v>-89</v>
      </c>
      <c r="BF52" s="19">
        <f t="shared" si="75"/>
        <v>0</v>
      </c>
    </row>
    <row r="53" spans="1:58" ht="16.5" customHeight="1">
      <c r="A53" s="19">
        <v>1233</v>
      </c>
      <c r="B53" s="19"/>
      <c r="C53" s="19">
        <v>599</v>
      </c>
      <c r="D53" s="19"/>
      <c r="E53" s="19">
        <v>1452</v>
      </c>
      <c r="F53" s="19"/>
      <c r="G53" s="19">
        <v>729</v>
      </c>
      <c r="H53" s="19"/>
      <c r="I53" s="19">
        <f>+A53-E53</f>
        <v>-219</v>
      </c>
      <c r="J53" s="19">
        <f>+B53-F53</f>
        <v>0</v>
      </c>
      <c r="K53" s="19">
        <f>+C53-G53</f>
        <v>-130</v>
      </c>
      <c r="L53" s="19">
        <f>+D53-H53</f>
        <v>0</v>
      </c>
      <c r="M53" s="26" t="s">
        <v>48</v>
      </c>
      <c r="N53" s="19">
        <f>8171+390+232+1012+59+456+8+662+17</f>
        <v>11007</v>
      </c>
      <c r="O53" s="19"/>
      <c r="P53" s="19">
        <f>4267+112+33+399+27+271+7+108+6</f>
        <v>5230</v>
      </c>
      <c r="Q53" s="19">
        <v>0</v>
      </c>
      <c r="R53" s="19">
        <v>5255</v>
      </c>
      <c r="S53" s="19"/>
      <c r="T53" s="19">
        <v>2742</v>
      </c>
      <c r="U53" s="19">
        <v>0</v>
      </c>
      <c r="V53" s="19">
        <v>1117</v>
      </c>
      <c r="W53" s="19"/>
      <c r="X53" s="19">
        <v>143</v>
      </c>
      <c r="Y53" s="19"/>
      <c r="Z53" s="19">
        <f>1331+195</f>
        <v>1526</v>
      </c>
      <c r="AA53" s="19"/>
      <c r="AB53" s="19">
        <f>73+42</f>
        <v>115</v>
      </c>
      <c r="AC53" s="19"/>
      <c r="AD53" s="26" t="s">
        <v>48</v>
      </c>
      <c r="AE53" s="19">
        <f t="shared" si="21"/>
        <v>18905</v>
      </c>
      <c r="AF53" s="19">
        <f t="shared" si="41"/>
        <v>0</v>
      </c>
      <c r="AG53" s="19">
        <f t="shared" si="42"/>
        <v>8230</v>
      </c>
      <c r="AH53" s="19">
        <f t="shared" si="43"/>
        <v>0</v>
      </c>
      <c r="AI53" s="19">
        <f>8951+655+462+971+104+805+19+1077+135</f>
        <v>13179</v>
      </c>
      <c r="AJ53" s="19"/>
      <c r="AK53" s="19">
        <f>4154+210+61+486+56+682+11+406</f>
        <v>6066</v>
      </c>
      <c r="AL53" s="19"/>
      <c r="AM53" s="19">
        <v>4973</v>
      </c>
      <c r="AN53" s="19"/>
      <c r="AO53" s="19">
        <v>1969</v>
      </c>
      <c r="AP53" s="19"/>
      <c r="AQ53" s="19">
        <v>1150</v>
      </c>
      <c r="AR53" s="19"/>
      <c r="AS53" s="19">
        <v>136</v>
      </c>
      <c r="AT53" s="19"/>
      <c r="AU53" s="19">
        <f>1393+217</f>
        <v>1610</v>
      </c>
      <c r="AV53" s="19"/>
      <c r="AW53" s="19">
        <f>98+50</f>
        <v>148</v>
      </c>
      <c r="AX53" s="19"/>
      <c r="AY53" s="19">
        <f aca="true" t="shared" si="76" ref="AY53:BB59">AI53+AM53+AQ53+AU53</f>
        <v>20912</v>
      </c>
      <c r="AZ53" s="19">
        <f t="shared" si="76"/>
        <v>0</v>
      </c>
      <c r="BA53" s="19">
        <f t="shared" si="76"/>
        <v>8319</v>
      </c>
      <c r="BB53" s="19">
        <f t="shared" si="76"/>
        <v>0</v>
      </c>
      <c r="BC53" s="19">
        <f aca="true" t="shared" si="77" ref="BC53:BF59">AE53-AY53</f>
        <v>-2007</v>
      </c>
      <c r="BD53" s="19">
        <f t="shared" si="77"/>
        <v>0</v>
      </c>
      <c r="BE53" s="19">
        <f t="shared" si="77"/>
        <v>-89</v>
      </c>
      <c r="BF53" s="19">
        <f t="shared" si="77"/>
        <v>0</v>
      </c>
    </row>
    <row r="54" spans="1:58" ht="16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6" t="s">
        <v>49</v>
      </c>
      <c r="N54" s="19"/>
      <c r="O54" s="19"/>
      <c r="P54" s="19"/>
      <c r="Q54" s="19"/>
      <c r="R54" s="19">
        <v>2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6" t="s">
        <v>49</v>
      </c>
      <c r="AE54" s="19">
        <f t="shared" si="21"/>
        <v>2</v>
      </c>
      <c r="AF54" s="19">
        <f t="shared" si="41"/>
        <v>0</v>
      </c>
      <c r="AG54" s="19">
        <f t="shared" si="42"/>
        <v>0</v>
      </c>
      <c r="AH54" s="19">
        <f t="shared" si="43"/>
        <v>0</v>
      </c>
      <c r="AI54" s="19"/>
      <c r="AJ54" s="19"/>
      <c r="AK54" s="19"/>
      <c r="AL54" s="19"/>
      <c r="AM54" s="19">
        <v>10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>
        <f t="shared" si="76"/>
        <v>10</v>
      </c>
      <c r="AZ54" s="19">
        <f t="shared" si="76"/>
        <v>0</v>
      </c>
      <c r="BA54" s="19">
        <f t="shared" si="76"/>
        <v>0</v>
      </c>
      <c r="BB54" s="19">
        <f t="shared" si="76"/>
        <v>0</v>
      </c>
      <c r="BC54" s="19">
        <f t="shared" si="77"/>
        <v>-8</v>
      </c>
      <c r="BD54" s="19">
        <f t="shared" si="77"/>
        <v>0</v>
      </c>
      <c r="BE54" s="19">
        <f t="shared" si="77"/>
        <v>0</v>
      </c>
      <c r="BF54" s="19">
        <f t="shared" si="77"/>
        <v>0</v>
      </c>
    </row>
    <row r="55" spans="1:58" ht="16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6" t="s">
        <v>80</v>
      </c>
      <c r="N55" s="19">
        <f>3412+2414+996+3762+2857+265+27</f>
        <v>13733</v>
      </c>
      <c r="O55" s="19">
        <f>6+15+11+2+5</f>
        <v>39</v>
      </c>
      <c r="P55" s="19">
        <f>5+5+49</f>
        <v>59</v>
      </c>
      <c r="Q55" s="19">
        <v>1438</v>
      </c>
      <c r="R55" s="19">
        <v>218</v>
      </c>
      <c r="S55" s="19"/>
      <c r="T55" s="19">
        <v>27</v>
      </c>
      <c r="U55" s="19"/>
      <c r="V55" s="19">
        <v>441</v>
      </c>
      <c r="W55" s="19">
        <v>20</v>
      </c>
      <c r="X55" s="19">
        <v>25</v>
      </c>
      <c r="Y55" s="19">
        <v>43</v>
      </c>
      <c r="Z55" s="19">
        <v>19</v>
      </c>
      <c r="AA55" s="19"/>
      <c r="AB55" s="19"/>
      <c r="AC55" s="19"/>
      <c r="AD55" s="36" t="s">
        <v>73</v>
      </c>
      <c r="AE55" s="19">
        <f t="shared" si="21"/>
        <v>14411</v>
      </c>
      <c r="AF55" s="19">
        <f t="shared" si="41"/>
        <v>59</v>
      </c>
      <c r="AG55" s="19">
        <f t="shared" si="42"/>
        <v>111</v>
      </c>
      <c r="AH55" s="19">
        <f t="shared" si="43"/>
        <v>1481</v>
      </c>
      <c r="AI55" s="19">
        <f>4136+2745+1078+4140+2937+279+50</f>
        <v>15365</v>
      </c>
      <c r="AJ55" s="19">
        <f>6+15+11+2+5</f>
        <v>39</v>
      </c>
      <c r="AK55" s="19">
        <f>5+5+49</f>
        <v>59</v>
      </c>
      <c r="AL55" s="19">
        <v>1673</v>
      </c>
      <c r="AM55" s="19">
        <v>307</v>
      </c>
      <c r="AN55" s="19"/>
      <c r="AO55" s="19">
        <v>31</v>
      </c>
      <c r="AP55" s="19"/>
      <c r="AQ55" s="19">
        <v>457</v>
      </c>
      <c r="AR55" s="19">
        <v>25</v>
      </c>
      <c r="AS55" s="19">
        <v>25</v>
      </c>
      <c r="AT55" s="19">
        <v>44</v>
      </c>
      <c r="AU55" s="19">
        <v>19</v>
      </c>
      <c r="AV55" s="19"/>
      <c r="AW55" s="19"/>
      <c r="AX55" s="19"/>
      <c r="AY55" s="19">
        <f t="shared" si="76"/>
        <v>16148</v>
      </c>
      <c r="AZ55" s="19">
        <f t="shared" si="76"/>
        <v>64</v>
      </c>
      <c r="BA55" s="19">
        <f t="shared" si="76"/>
        <v>115</v>
      </c>
      <c r="BB55" s="19">
        <f t="shared" si="76"/>
        <v>1717</v>
      </c>
      <c r="BC55" s="19">
        <f t="shared" si="77"/>
        <v>-1737</v>
      </c>
      <c r="BD55" s="19">
        <f t="shared" si="77"/>
        <v>-5</v>
      </c>
      <c r="BE55" s="19">
        <f t="shared" si="77"/>
        <v>-4</v>
      </c>
      <c r="BF55" s="19">
        <f t="shared" si="77"/>
        <v>-236</v>
      </c>
    </row>
    <row r="56" spans="1:58" ht="16.5" customHeight="1">
      <c r="A56" s="19"/>
      <c r="B56" s="19"/>
      <c r="C56" s="19"/>
      <c r="D56" s="19"/>
      <c r="E56" s="19"/>
      <c r="F56" s="19"/>
      <c r="G56" s="19"/>
      <c r="H56" s="19"/>
      <c r="I56" s="19">
        <f aca="true" t="shared" si="78" ref="I56:L59">+A56-E56</f>
        <v>0</v>
      </c>
      <c r="J56" s="19">
        <f t="shared" si="78"/>
        <v>0</v>
      </c>
      <c r="K56" s="19">
        <f t="shared" si="78"/>
        <v>0</v>
      </c>
      <c r="L56" s="19">
        <f t="shared" si="78"/>
        <v>0</v>
      </c>
      <c r="M56" s="36" t="s">
        <v>74</v>
      </c>
      <c r="N56" s="19">
        <f>168+338+140</f>
        <v>646</v>
      </c>
      <c r="O56" s="19"/>
      <c r="P56" s="19">
        <f>295+291+111</f>
        <v>697</v>
      </c>
      <c r="Q56" s="19"/>
      <c r="R56" s="19">
        <v>57</v>
      </c>
      <c r="S56" s="19"/>
      <c r="T56" s="19">
        <v>28</v>
      </c>
      <c r="U56" s="19"/>
      <c r="V56" s="19">
        <v>153</v>
      </c>
      <c r="W56" s="19"/>
      <c r="X56" s="19">
        <v>46</v>
      </c>
      <c r="Y56" s="19"/>
      <c r="Z56" s="19">
        <v>25</v>
      </c>
      <c r="AA56" s="19"/>
      <c r="AB56" s="19">
        <v>9</v>
      </c>
      <c r="AC56" s="19"/>
      <c r="AD56" s="30" t="s">
        <v>74</v>
      </c>
      <c r="AE56" s="19">
        <f t="shared" si="21"/>
        <v>881</v>
      </c>
      <c r="AF56" s="19">
        <f t="shared" si="41"/>
        <v>0</v>
      </c>
      <c r="AG56" s="19">
        <f t="shared" si="42"/>
        <v>780</v>
      </c>
      <c r="AH56" s="19">
        <f t="shared" si="43"/>
        <v>0</v>
      </c>
      <c r="AI56" s="19">
        <f>171+349+163</f>
        <v>683</v>
      </c>
      <c r="AJ56" s="19"/>
      <c r="AK56" s="19">
        <f>310+307+140</f>
        <v>757</v>
      </c>
      <c r="AL56" s="19"/>
      <c r="AM56" s="19">
        <v>62</v>
      </c>
      <c r="AN56" s="19"/>
      <c r="AO56" s="19">
        <v>46</v>
      </c>
      <c r="AP56" s="19"/>
      <c r="AQ56" s="19">
        <v>170</v>
      </c>
      <c r="AR56" s="19">
        <v>0</v>
      </c>
      <c r="AS56" s="19">
        <v>69</v>
      </c>
      <c r="AT56" s="19"/>
      <c r="AU56" s="19">
        <v>33</v>
      </c>
      <c r="AV56" s="19"/>
      <c r="AW56" s="19">
        <v>18</v>
      </c>
      <c r="AX56" s="19"/>
      <c r="AY56" s="19">
        <f t="shared" si="76"/>
        <v>948</v>
      </c>
      <c r="AZ56" s="19">
        <f t="shared" si="76"/>
        <v>0</v>
      </c>
      <c r="BA56" s="19">
        <f t="shared" si="76"/>
        <v>890</v>
      </c>
      <c r="BB56" s="19">
        <f t="shared" si="76"/>
        <v>0</v>
      </c>
      <c r="BC56" s="19">
        <f t="shared" si="77"/>
        <v>-67</v>
      </c>
      <c r="BD56" s="19">
        <f t="shared" si="77"/>
        <v>0</v>
      </c>
      <c r="BE56" s="19">
        <f t="shared" si="77"/>
        <v>-110</v>
      </c>
      <c r="BF56" s="19">
        <f t="shared" si="77"/>
        <v>0</v>
      </c>
    </row>
    <row r="57" spans="1:58" ht="16.5" customHeight="1">
      <c r="A57" s="19"/>
      <c r="B57" s="19"/>
      <c r="C57" s="19"/>
      <c r="D57" s="19"/>
      <c r="E57" s="19"/>
      <c r="F57" s="19"/>
      <c r="G57" s="19"/>
      <c r="H57" s="19"/>
      <c r="I57" s="19">
        <f t="shared" si="78"/>
        <v>0</v>
      </c>
      <c r="J57" s="19">
        <f t="shared" si="78"/>
        <v>0</v>
      </c>
      <c r="K57" s="19">
        <f t="shared" si="78"/>
        <v>0</v>
      </c>
      <c r="L57" s="19">
        <f t="shared" si="78"/>
        <v>0</v>
      </c>
      <c r="M57" s="30" t="s">
        <v>75</v>
      </c>
      <c r="N57" s="19">
        <v>153</v>
      </c>
      <c r="O57" s="19">
        <v>8</v>
      </c>
      <c r="P57" s="19">
        <v>216</v>
      </c>
      <c r="Q57" s="19">
        <v>23</v>
      </c>
      <c r="R57" s="19">
        <v>15</v>
      </c>
      <c r="S57" s="19">
        <v>3</v>
      </c>
      <c r="T57" s="19">
        <v>10</v>
      </c>
      <c r="U57" s="19"/>
      <c r="V57" s="19">
        <v>97</v>
      </c>
      <c r="W57" s="19"/>
      <c r="X57" s="19">
        <v>51</v>
      </c>
      <c r="Y57" s="19"/>
      <c r="Z57" s="19"/>
      <c r="AA57" s="19"/>
      <c r="AB57" s="19"/>
      <c r="AC57" s="19"/>
      <c r="AD57" s="30" t="s">
        <v>75</v>
      </c>
      <c r="AE57" s="19">
        <f t="shared" si="21"/>
        <v>265</v>
      </c>
      <c r="AF57" s="19">
        <f t="shared" si="41"/>
        <v>11</v>
      </c>
      <c r="AG57" s="19">
        <f t="shared" si="42"/>
        <v>277</v>
      </c>
      <c r="AH57" s="19">
        <f t="shared" si="43"/>
        <v>23</v>
      </c>
      <c r="AI57" s="19">
        <v>178</v>
      </c>
      <c r="AJ57" s="19">
        <v>8</v>
      </c>
      <c r="AK57" s="19">
        <v>278</v>
      </c>
      <c r="AL57" s="19">
        <v>27</v>
      </c>
      <c r="AM57" s="19">
        <v>15</v>
      </c>
      <c r="AN57" s="19">
        <v>5</v>
      </c>
      <c r="AO57" s="19">
        <v>10</v>
      </c>
      <c r="AP57" s="19"/>
      <c r="AQ57" s="19">
        <v>99</v>
      </c>
      <c r="AR57" s="19"/>
      <c r="AS57" s="19">
        <v>58</v>
      </c>
      <c r="AT57" s="19"/>
      <c r="AU57" s="19"/>
      <c r="AV57" s="19"/>
      <c r="AW57" s="19"/>
      <c r="AX57" s="19"/>
      <c r="AY57" s="19">
        <f t="shared" si="76"/>
        <v>292</v>
      </c>
      <c r="AZ57" s="19">
        <f t="shared" si="76"/>
        <v>13</v>
      </c>
      <c r="BA57" s="19">
        <f t="shared" si="76"/>
        <v>346</v>
      </c>
      <c r="BB57" s="19">
        <f t="shared" si="76"/>
        <v>27</v>
      </c>
      <c r="BC57" s="19">
        <f t="shared" si="77"/>
        <v>-27</v>
      </c>
      <c r="BD57" s="19">
        <f t="shared" si="77"/>
        <v>-2</v>
      </c>
      <c r="BE57" s="19">
        <f t="shared" si="77"/>
        <v>-69</v>
      </c>
      <c r="BF57" s="19">
        <f t="shared" si="77"/>
        <v>-4</v>
      </c>
    </row>
    <row r="58" spans="1:58" ht="16.5" customHeight="1">
      <c r="A58" s="19"/>
      <c r="B58" s="19"/>
      <c r="C58" s="19"/>
      <c r="D58" s="19"/>
      <c r="E58" s="19"/>
      <c r="F58" s="19"/>
      <c r="G58" s="19"/>
      <c r="H58" s="19"/>
      <c r="I58" s="19">
        <f t="shared" si="78"/>
        <v>0</v>
      </c>
      <c r="J58" s="19">
        <f t="shared" si="78"/>
        <v>0</v>
      </c>
      <c r="K58" s="19">
        <f t="shared" si="78"/>
        <v>0</v>
      </c>
      <c r="L58" s="19">
        <f t="shared" si="78"/>
        <v>0</v>
      </c>
      <c r="M58" s="36" t="s">
        <v>76</v>
      </c>
      <c r="N58" s="19">
        <v>1227</v>
      </c>
      <c r="O58" s="19">
        <v>0</v>
      </c>
      <c r="P58" s="19">
        <v>144</v>
      </c>
      <c r="Q58" s="19">
        <v>181</v>
      </c>
      <c r="R58" s="19">
        <v>50</v>
      </c>
      <c r="S58" s="19"/>
      <c r="T58" s="19">
        <v>8</v>
      </c>
      <c r="U58" s="19"/>
      <c r="V58" s="19">
        <v>243</v>
      </c>
      <c r="W58" s="19">
        <v>2</v>
      </c>
      <c r="X58" s="19">
        <v>32</v>
      </c>
      <c r="Y58" s="19"/>
      <c r="Z58" s="19">
        <f>9+11</f>
        <v>20</v>
      </c>
      <c r="AA58" s="19">
        <v>0</v>
      </c>
      <c r="AB58" s="19">
        <f>1+1</f>
        <v>2</v>
      </c>
      <c r="AC58" s="19"/>
      <c r="AD58" s="49" t="s">
        <v>76</v>
      </c>
      <c r="AE58" s="19">
        <f t="shared" si="21"/>
        <v>1540</v>
      </c>
      <c r="AF58" s="19">
        <f t="shared" si="41"/>
        <v>2</v>
      </c>
      <c r="AG58" s="19">
        <f t="shared" si="42"/>
        <v>186</v>
      </c>
      <c r="AH58" s="19">
        <f t="shared" si="43"/>
        <v>181</v>
      </c>
      <c r="AI58" s="50">
        <v>1317</v>
      </c>
      <c r="AJ58" s="50">
        <v>0</v>
      </c>
      <c r="AK58" s="50">
        <v>101</v>
      </c>
      <c r="AL58" s="50">
        <v>187</v>
      </c>
      <c r="AM58" s="50">
        <v>53</v>
      </c>
      <c r="AN58" s="50">
        <v>0</v>
      </c>
      <c r="AO58" s="50">
        <v>6</v>
      </c>
      <c r="AP58" s="50"/>
      <c r="AQ58" s="50">
        <v>245</v>
      </c>
      <c r="AR58" s="50">
        <v>2</v>
      </c>
      <c r="AS58" s="50">
        <v>31</v>
      </c>
      <c r="AT58" s="50"/>
      <c r="AU58" s="50">
        <f>10+9</f>
        <v>19</v>
      </c>
      <c r="AV58" s="50"/>
      <c r="AW58" s="50">
        <v>1</v>
      </c>
      <c r="AX58" s="50"/>
      <c r="AY58" s="50">
        <f t="shared" si="76"/>
        <v>1634</v>
      </c>
      <c r="AZ58" s="50">
        <f t="shared" si="76"/>
        <v>2</v>
      </c>
      <c r="BA58" s="50">
        <f t="shared" si="76"/>
        <v>139</v>
      </c>
      <c r="BB58" s="50">
        <f t="shared" si="76"/>
        <v>187</v>
      </c>
      <c r="BC58" s="50">
        <f t="shared" si="77"/>
        <v>-94</v>
      </c>
      <c r="BD58" s="50">
        <f t="shared" si="77"/>
        <v>0</v>
      </c>
      <c r="BE58" s="50">
        <f t="shared" si="77"/>
        <v>47</v>
      </c>
      <c r="BF58" s="50">
        <f t="shared" si="77"/>
        <v>-6</v>
      </c>
    </row>
    <row r="59" spans="1:58" ht="16.5" customHeight="1">
      <c r="A59" s="19"/>
      <c r="B59" s="19"/>
      <c r="C59" s="19"/>
      <c r="D59" s="19"/>
      <c r="E59" s="19"/>
      <c r="F59" s="19"/>
      <c r="G59" s="19"/>
      <c r="H59" s="19"/>
      <c r="I59" s="19">
        <f t="shared" si="78"/>
        <v>0</v>
      </c>
      <c r="J59" s="19">
        <f t="shared" si="78"/>
        <v>0</v>
      </c>
      <c r="K59" s="19">
        <f t="shared" si="78"/>
        <v>0</v>
      </c>
      <c r="L59" s="19">
        <f t="shared" si="78"/>
        <v>0</v>
      </c>
      <c r="M59" s="30" t="s">
        <v>77</v>
      </c>
      <c r="N59" s="19">
        <v>69</v>
      </c>
      <c r="O59" s="19"/>
      <c r="P59" s="19">
        <v>70</v>
      </c>
      <c r="Q59" s="19"/>
      <c r="R59" s="19">
        <v>4</v>
      </c>
      <c r="S59" s="19"/>
      <c r="T59" s="19">
        <v>1</v>
      </c>
      <c r="U59" s="19">
        <v>4</v>
      </c>
      <c r="V59" s="19">
        <v>39</v>
      </c>
      <c r="W59" s="19"/>
      <c r="X59" s="19">
        <v>33</v>
      </c>
      <c r="Y59" s="19"/>
      <c r="Z59" s="19">
        <v>7</v>
      </c>
      <c r="AA59" s="19"/>
      <c r="AB59" s="19">
        <v>1</v>
      </c>
      <c r="AC59" s="19"/>
      <c r="AD59" s="30" t="s">
        <v>77</v>
      </c>
      <c r="AE59" s="19">
        <f t="shared" si="21"/>
        <v>119</v>
      </c>
      <c r="AF59" s="19">
        <f t="shared" si="41"/>
        <v>0</v>
      </c>
      <c r="AG59" s="19">
        <f t="shared" si="42"/>
        <v>105</v>
      </c>
      <c r="AH59" s="19">
        <f t="shared" si="43"/>
        <v>4</v>
      </c>
      <c r="AI59" s="19">
        <v>73</v>
      </c>
      <c r="AJ59" s="19"/>
      <c r="AK59" s="19">
        <v>79</v>
      </c>
      <c r="AL59" s="19"/>
      <c r="AM59" s="19">
        <v>6</v>
      </c>
      <c r="AN59" s="19"/>
      <c r="AO59" s="19">
        <v>2</v>
      </c>
      <c r="AP59" s="19">
        <v>4</v>
      </c>
      <c r="AQ59" s="19">
        <v>41</v>
      </c>
      <c r="AR59" s="19"/>
      <c r="AS59" s="19">
        <v>33</v>
      </c>
      <c r="AT59" s="19"/>
      <c r="AU59" s="19">
        <v>7</v>
      </c>
      <c r="AV59" s="19"/>
      <c r="AW59" s="19">
        <v>1</v>
      </c>
      <c r="AX59" s="19"/>
      <c r="AY59" s="19">
        <f t="shared" si="76"/>
        <v>127</v>
      </c>
      <c r="AZ59" s="19">
        <f t="shared" si="76"/>
        <v>0</v>
      </c>
      <c r="BA59" s="19">
        <f t="shared" si="76"/>
        <v>115</v>
      </c>
      <c r="BB59" s="19">
        <f t="shared" si="76"/>
        <v>4</v>
      </c>
      <c r="BC59" s="19">
        <f t="shared" si="77"/>
        <v>-8</v>
      </c>
      <c r="BD59" s="19">
        <f t="shared" si="77"/>
        <v>0</v>
      </c>
      <c r="BE59" s="19">
        <f t="shared" si="77"/>
        <v>-10</v>
      </c>
      <c r="BF59" s="19">
        <f t="shared" si="77"/>
        <v>0</v>
      </c>
    </row>
    <row r="60" spans="1:58" s="40" customFormat="1" ht="21.75" customHeight="1">
      <c r="A60" s="37">
        <f>A61</f>
        <v>0</v>
      </c>
      <c r="B60" s="37">
        <f>+B61</f>
        <v>0</v>
      </c>
      <c r="C60" s="37">
        <f aca="true" t="shared" si="79" ref="C60:L60">C61</f>
        <v>0</v>
      </c>
      <c r="D60" s="37">
        <f t="shared" si="79"/>
        <v>0</v>
      </c>
      <c r="E60" s="37">
        <f t="shared" si="79"/>
        <v>0</v>
      </c>
      <c r="F60" s="37">
        <f t="shared" si="79"/>
        <v>0</v>
      </c>
      <c r="G60" s="37">
        <f t="shared" si="79"/>
        <v>0</v>
      </c>
      <c r="H60" s="37">
        <f t="shared" si="79"/>
        <v>0</v>
      </c>
      <c r="I60" s="37">
        <f t="shared" si="79"/>
        <v>0</v>
      </c>
      <c r="J60" s="37">
        <f t="shared" si="79"/>
        <v>0</v>
      </c>
      <c r="K60" s="37">
        <f t="shared" si="79"/>
        <v>0</v>
      </c>
      <c r="L60" s="37">
        <f t="shared" si="79"/>
        <v>0</v>
      </c>
      <c r="M60" s="38" t="s">
        <v>59</v>
      </c>
      <c r="N60" s="39">
        <f aca="true" t="shared" si="80" ref="N60:AC60">N61</f>
        <v>984</v>
      </c>
      <c r="O60" s="39">
        <f t="shared" si="80"/>
        <v>147</v>
      </c>
      <c r="P60" s="39">
        <f t="shared" si="80"/>
        <v>1163</v>
      </c>
      <c r="Q60" s="37">
        <f t="shared" si="80"/>
        <v>1020</v>
      </c>
      <c r="R60" s="39">
        <f t="shared" si="80"/>
        <v>123</v>
      </c>
      <c r="S60" s="39">
        <f t="shared" si="80"/>
        <v>23</v>
      </c>
      <c r="T60" s="39">
        <f t="shared" si="80"/>
        <v>42</v>
      </c>
      <c r="U60" s="39">
        <f t="shared" si="80"/>
        <v>4</v>
      </c>
      <c r="V60" s="39">
        <f t="shared" si="80"/>
        <v>127</v>
      </c>
      <c r="W60" s="39">
        <f t="shared" si="80"/>
        <v>8</v>
      </c>
      <c r="X60" s="39">
        <f t="shared" si="80"/>
        <v>51</v>
      </c>
      <c r="Y60" s="39">
        <f t="shared" si="80"/>
        <v>0</v>
      </c>
      <c r="Z60" s="39">
        <f t="shared" si="80"/>
        <v>11</v>
      </c>
      <c r="AA60" s="39">
        <f t="shared" si="80"/>
        <v>5</v>
      </c>
      <c r="AB60" s="39">
        <f t="shared" si="80"/>
        <v>9</v>
      </c>
      <c r="AC60" s="39">
        <f t="shared" si="80"/>
        <v>0</v>
      </c>
      <c r="AD60" s="51" t="s">
        <v>69</v>
      </c>
      <c r="AE60" s="39">
        <f t="shared" si="21"/>
        <v>1245</v>
      </c>
      <c r="AF60" s="39">
        <f t="shared" si="41"/>
        <v>183</v>
      </c>
      <c r="AG60" s="39">
        <f t="shared" si="42"/>
        <v>1265</v>
      </c>
      <c r="AH60" s="39">
        <f t="shared" si="43"/>
        <v>1024</v>
      </c>
      <c r="AI60" s="39">
        <f aca="true" t="shared" si="81" ref="AI60:BF60">AI61</f>
        <v>1027</v>
      </c>
      <c r="AJ60" s="39">
        <f t="shared" si="81"/>
        <v>175</v>
      </c>
      <c r="AK60" s="39">
        <f t="shared" si="81"/>
        <v>1115</v>
      </c>
      <c r="AL60" s="39">
        <f t="shared" si="81"/>
        <v>699</v>
      </c>
      <c r="AM60" s="39">
        <f t="shared" si="81"/>
        <v>85</v>
      </c>
      <c r="AN60" s="39">
        <f t="shared" si="81"/>
        <v>17</v>
      </c>
      <c r="AO60" s="39">
        <f t="shared" si="81"/>
        <v>29</v>
      </c>
      <c r="AP60" s="39">
        <f t="shared" si="81"/>
        <v>0</v>
      </c>
      <c r="AQ60" s="39">
        <f t="shared" si="81"/>
        <v>123</v>
      </c>
      <c r="AR60" s="39">
        <f t="shared" si="81"/>
        <v>5</v>
      </c>
      <c r="AS60" s="39">
        <f t="shared" si="81"/>
        <v>50</v>
      </c>
      <c r="AT60" s="39">
        <f t="shared" si="81"/>
        <v>0</v>
      </c>
      <c r="AU60" s="39">
        <f t="shared" si="81"/>
        <v>15</v>
      </c>
      <c r="AV60" s="39">
        <f t="shared" si="81"/>
        <v>3</v>
      </c>
      <c r="AW60" s="39">
        <f t="shared" si="81"/>
        <v>6</v>
      </c>
      <c r="AX60" s="39">
        <f t="shared" si="81"/>
        <v>1</v>
      </c>
      <c r="AY60" s="39">
        <f t="shared" si="81"/>
        <v>1250</v>
      </c>
      <c r="AZ60" s="39">
        <f t="shared" si="81"/>
        <v>200</v>
      </c>
      <c r="BA60" s="39">
        <f t="shared" si="81"/>
        <v>1200</v>
      </c>
      <c r="BB60" s="39">
        <f t="shared" si="81"/>
        <v>700</v>
      </c>
      <c r="BC60" s="39">
        <f t="shared" si="81"/>
        <v>-5</v>
      </c>
      <c r="BD60" s="39">
        <f t="shared" si="81"/>
        <v>-17</v>
      </c>
      <c r="BE60" s="39">
        <f t="shared" si="81"/>
        <v>65</v>
      </c>
      <c r="BF60" s="39">
        <f t="shared" si="81"/>
        <v>324</v>
      </c>
    </row>
    <row r="61" spans="1:58" ht="16.5" customHeight="1">
      <c r="A61" s="19">
        <f aca="true" t="shared" si="82" ref="A61:L61">A62+A63</f>
        <v>0</v>
      </c>
      <c r="B61" s="19">
        <f t="shared" si="82"/>
        <v>0</v>
      </c>
      <c r="C61" s="19">
        <f t="shared" si="82"/>
        <v>0</v>
      </c>
      <c r="D61" s="19">
        <f t="shared" si="82"/>
        <v>0</v>
      </c>
      <c r="E61" s="19">
        <f t="shared" si="82"/>
        <v>0</v>
      </c>
      <c r="F61" s="19">
        <f t="shared" si="82"/>
        <v>0</v>
      </c>
      <c r="G61" s="19">
        <f t="shared" si="82"/>
        <v>0</v>
      </c>
      <c r="H61" s="19">
        <f t="shared" si="82"/>
        <v>0</v>
      </c>
      <c r="I61" s="19">
        <f t="shared" si="82"/>
        <v>0</v>
      </c>
      <c r="J61" s="19">
        <f t="shared" si="82"/>
        <v>0</v>
      </c>
      <c r="K61" s="19">
        <f t="shared" si="82"/>
        <v>0</v>
      </c>
      <c r="L61" s="19">
        <f t="shared" si="82"/>
        <v>0</v>
      </c>
      <c r="M61" s="29" t="s">
        <v>60</v>
      </c>
      <c r="N61" s="19">
        <f>N62+N63</f>
        <v>984</v>
      </c>
      <c r="O61" s="19">
        <f aca="true" t="shared" si="83" ref="O61:AB61">O62+O63</f>
        <v>147</v>
      </c>
      <c r="P61" s="19">
        <f t="shared" si="83"/>
        <v>1163</v>
      </c>
      <c r="Q61" s="19">
        <f t="shared" si="83"/>
        <v>1020</v>
      </c>
      <c r="R61" s="19">
        <f t="shared" si="83"/>
        <v>123</v>
      </c>
      <c r="S61" s="19">
        <f t="shared" si="83"/>
        <v>23</v>
      </c>
      <c r="T61" s="19">
        <f t="shared" si="83"/>
        <v>42</v>
      </c>
      <c r="U61" s="19">
        <f t="shared" si="83"/>
        <v>4</v>
      </c>
      <c r="V61" s="19">
        <f t="shared" si="83"/>
        <v>127</v>
      </c>
      <c r="W61" s="19">
        <f t="shared" si="83"/>
        <v>8</v>
      </c>
      <c r="X61" s="19">
        <f t="shared" si="83"/>
        <v>51</v>
      </c>
      <c r="Y61" s="19">
        <f t="shared" si="83"/>
        <v>0</v>
      </c>
      <c r="Z61" s="19">
        <f t="shared" si="83"/>
        <v>11</v>
      </c>
      <c r="AA61" s="19">
        <f t="shared" si="83"/>
        <v>5</v>
      </c>
      <c r="AB61" s="19">
        <f t="shared" si="83"/>
        <v>9</v>
      </c>
      <c r="AC61" s="19"/>
      <c r="AD61" s="29" t="s">
        <v>60</v>
      </c>
      <c r="AE61" s="19">
        <f t="shared" si="21"/>
        <v>1245</v>
      </c>
      <c r="AF61" s="19">
        <f t="shared" si="41"/>
        <v>183</v>
      </c>
      <c r="AG61" s="19">
        <f t="shared" si="42"/>
        <v>1265</v>
      </c>
      <c r="AH61" s="19">
        <f t="shared" si="43"/>
        <v>1024</v>
      </c>
      <c r="AI61" s="19">
        <f aca="true" t="shared" si="84" ref="AI61:BF61">AI62+AI63</f>
        <v>1027</v>
      </c>
      <c r="AJ61" s="19">
        <f t="shared" si="84"/>
        <v>175</v>
      </c>
      <c r="AK61" s="19">
        <f t="shared" si="84"/>
        <v>1115</v>
      </c>
      <c r="AL61" s="19">
        <f t="shared" si="84"/>
        <v>699</v>
      </c>
      <c r="AM61" s="19">
        <f t="shared" si="84"/>
        <v>85</v>
      </c>
      <c r="AN61" s="19">
        <f t="shared" si="84"/>
        <v>17</v>
      </c>
      <c r="AO61" s="19">
        <f t="shared" si="84"/>
        <v>29</v>
      </c>
      <c r="AP61" s="19">
        <f t="shared" si="84"/>
        <v>0</v>
      </c>
      <c r="AQ61" s="19">
        <f t="shared" si="84"/>
        <v>123</v>
      </c>
      <c r="AR61" s="19">
        <f t="shared" si="84"/>
        <v>5</v>
      </c>
      <c r="AS61" s="19">
        <f t="shared" si="84"/>
        <v>50</v>
      </c>
      <c r="AT61" s="19">
        <f t="shared" si="84"/>
        <v>0</v>
      </c>
      <c r="AU61" s="19">
        <f t="shared" si="84"/>
        <v>15</v>
      </c>
      <c r="AV61" s="19">
        <f t="shared" si="84"/>
        <v>3</v>
      </c>
      <c r="AW61" s="19">
        <f t="shared" si="84"/>
        <v>6</v>
      </c>
      <c r="AX61" s="19">
        <f t="shared" si="84"/>
        <v>1</v>
      </c>
      <c r="AY61" s="19">
        <f t="shared" si="84"/>
        <v>1250</v>
      </c>
      <c r="AZ61" s="19">
        <f t="shared" si="84"/>
        <v>200</v>
      </c>
      <c r="BA61" s="19">
        <f t="shared" si="84"/>
        <v>1200</v>
      </c>
      <c r="BB61" s="19">
        <f t="shared" si="84"/>
        <v>700</v>
      </c>
      <c r="BC61" s="19">
        <f t="shared" si="84"/>
        <v>-5</v>
      </c>
      <c r="BD61" s="19">
        <f t="shared" si="84"/>
        <v>-17</v>
      </c>
      <c r="BE61" s="19">
        <f t="shared" si="84"/>
        <v>65</v>
      </c>
      <c r="BF61" s="19">
        <f t="shared" si="84"/>
        <v>324</v>
      </c>
    </row>
    <row r="62" spans="1:58" ht="16.5" customHeight="1">
      <c r="A62" s="19">
        <v>0</v>
      </c>
      <c r="B62" s="19">
        <v>0</v>
      </c>
      <c r="C62" s="19">
        <v>0</v>
      </c>
      <c r="D62" s="19">
        <v>0</v>
      </c>
      <c r="E62" s="19">
        <v>0</v>
      </c>
      <c r="F62" s="19"/>
      <c r="G62" s="19">
        <v>0</v>
      </c>
      <c r="H62" s="19"/>
      <c r="I62" s="19">
        <f>+A62-E62</f>
        <v>0</v>
      </c>
      <c r="J62" s="19">
        <f>+B62-F62</f>
        <v>0</v>
      </c>
      <c r="K62" s="19">
        <f>+C62-G62</f>
        <v>0</v>
      </c>
      <c r="L62" s="19">
        <f>+D62-H62</f>
        <v>0</v>
      </c>
      <c r="M62" s="26" t="s">
        <v>48</v>
      </c>
      <c r="N62" s="19">
        <v>953</v>
      </c>
      <c r="O62" s="19">
        <v>147</v>
      </c>
      <c r="P62" s="19">
        <v>1159</v>
      </c>
      <c r="Q62" s="19">
        <v>1020</v>
      </c>
      <c r="R62" s="19">
        <f>36+87</f>
        <v>123</v>
      </c>
      <c r="S62" s="19">
        <f>2+21</f>
        <v>23</v>
      </c>
      <c r="T62" s="19">
        <f>30+12</f>
        <v>42</v>
      </c>
      <c r="U62" s="19">
        <v>4</v>
      </c>
      <c r="V62" s="19">
        <v>127</v>
      </c>
      <c r="W62" s="19">
        <v>8</v>
      </c>
      <c r="X62" s="19">
        <v>51</v>
      </c>
      <c r="Y62" s="19"/>
      <c r="Z62" s="19">
        <f>4+7</f>
        <v>11</v>
      </c>
      <c r="AA62" s="19">
        <f>5</f>
        <v>5</v>
      </c>
      <c r="AB62" s="19">
        <f>3+6</f>
        <v>9</v>
      </c>
      <c r="AC62" s="19"/>
      <c r="AD62" s="26" t="s">
        <v>48</v>
      </c>
      <c r="AE62" s="19">
        <f t="shared" si="21"/>
        <v>1214</v>
      </c>
      <c r="AF62" s="19">
        <f t="shared" si="41"/>
        <v>183</v>
      </c>
      <c r="AG62" s="19">
        <f t="shared" si="42"/>
        <v>1261</v>
      </c>
      <c r="AH62" s="19">
        <f t="shared" si="43"/>
        <v>1024</v>
      </c>
      <c r="AI62" s="19">
        <v>975</v>
      </c>
      <c r="AJ62" s="19">
        <v>175</v>
      </c>
      <c r="AK62" s="19">
        <v>1106</v>
      </c>
      <c r="AL62" s="19">
        <v>695</v>
      </c>
      <c r="AM62" s="19">
        <f>9+76</f>
        <v>85</v>
      </c>
      <c r="AN62" s="19">
        <v>17</v>
      </c>
      <c r="AO62" s="19">
        <f>15+14</f>
        <v>29</v>
      </c>
      <c r="AP62" s="19"/>
      <c r="AQ62" s="19">
        <v>123</v>
      </c>
      <c r="AR62" s="19">
        <v>5</v>
      </c>
      <c r="AS62" s="19">
        <v>50</v>
      </c>
      <c r="AT62" s="19">
        <v>0</v>
      </c>
      <c r="AU62" s="19">
        <f>7+8</f>
        <v>15</v>
      </c>
      <c r="AV62" s="19">
        <v>3</v>
      </c>
      <c r="AW62" s="19">
        <v>6</v>
      </c>
      <c r="AX62" s="19">
        <v>1</v>
      </c>
      <c r="AY62" s="19">
        <f aca="true" t="shared" si="85" ref="AY62:BB63">AI62+AM62+AQ62+AU62</f>
        <v>1198</v>
      </c>
      <c r="AZ62" s="19">
        <f t="shared" si="85"/>
        <v>200</v>
      </c>
      <c r="BA62" s="19">
        <f t="shared" si="85"/>
        <v>1191</v>
      </c>
      <c r="BB62" s="19">
        <f t="shared" si="85"/>
        <v>696</v>
      </c>
      <c r="BC62" s="19">
        <f aca="true" t="shared" si="86" ref="BC62:BF63">AE62-AY62</f>
        <v>16</v>
      </c>
      <c r="BD62" s="19">
        <f t="shared" si="86"/>
        <v>-17</v>
      </c>
      <c r="BE62" s="19">
        <f t="shared" si="86"/>
        <v>70</v>
      </c>
      <c r="BF62" s="19">
        <f t="shared" si="86"/>
        <v>328</v>
      </c>
    </row>
    <row r="63" spans="1:58" ht="16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6" t="s">
        <v>49</v>
      </c>
      <c r="N63" s="19">
        <v>31</v>
      </c>
      <c r="O63" s="19"/>
      <c r="P63" s="19">
        <v>4</v>
      </c>
      <c r="Q63" s="19">
        <v>0</v>
      </c>
      <c r="R63" s="19">
        <v>0</v>
      </c>
      <c r="S63" s="19"/>
      <c r="T63" s="19">
        <v>0</v>
      </c>
      <c r="U63" s="19"/>
      <c r="V63" s="19"/>
      <c r="W63" s="19"/>
      <c r="X63" s="19"/>
      <c r="Y63" s="19"/>
      <c r="Z63" s="19"/>
      <c r="AA63" s="19"/>
      <c r="AB63" s="19"/>
      <c r="AC63" s="19"/>
      <c r="AD63" s="26" t="s">
        <v>49</v>
      </c>
      <c r="AE63" s="19">
        <f t="shared" si="21"/>
        <v>31</v>
      </c>
      <c r="AF63" s="19">
        <f t="shared" si="41"/>
        <v>0</v>
      </c>
      <c r="AG63" s="19">
        <f t="shared" si="42"/>
        <v>4</v>
      </c>
      <c r="AH63" s="19">
        <f t="shared" si="43"/>
        <v>0</v>
      </c>
      <c r="AI63" s="19">
        <v>52</v>
      </c>
      <c r="AJ63" s="19"/>
      <c r="AK63" s="19">
        <v>9</v>
      </c>
      <c r="AL63" s="19">
        <v>4</v>
      </c>
      <c r="AM63" s="19">
        <v>0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>
        <f t="shared" si="85"/>
        <v>52</v>
      </c>
      <c r="AZ63" s="19">
        <f t="shared" si="85"/>
        <v>0</v>
      </c>
      <c r="BA63" s="19">
        <f t="shared" si="85"/>
        <v>9</v>
      </c>
      <c r="BB63" s="19">
        <f t="shared" si="85"/>
        <v>4</v>
      </c>
      <c r="BC63" s="19">
        <f t="shared" si="86"/>
        <v>-21</v>
      </c>
      <c r="BD63" s="19">
        <f t="shared" si="86"/>
        <v>0</v>
      </c>
      <c r="BE63" s="19">
        <f t="shared" si="86"/>
        <v>-5</v>
      </c>
      <c r="BF63" s="19">
        <f t="shared" si="86"/>
        <v>-4</v>
      </c>
    </row>
    <row r="64" spans="1:58" ht="16.5" customHeight="1">
      <c r="A64" s="19">
        <f>A65</f>
        <v>0</v>
      </c>
      <c r="B64" s="19">
        <f>+B65</f>
        <v>0</v>
      </c>
      <c r="C64" s="19">
        <f aca="true" t="shared" si="87" ref="C64:L64">C65</f>
        <v>0</v>
      </c>
      <c r="D64" s="19">
        <f t="shared" si="87"/>
        <v>0</v>
      </c>
      <c r="E64" s="19">
        <f t="shared" si="87"/>
        <v>0</v>
      </c>
      <c r="F64" s="19">
        <f t="shared" si="87"/>
        <v>0</v>
      </c>
      <c r="G64" s="19">
        <f t="shared" si="87"/>
        <v>0</v>
      </c>
      <c r="H64" s="19">
        <f t="shared" si="87"/>
        <v>0</v>
      </c>
      <c r="I64" s="19">
        <f t="shared" si="87"/>
        <v>0</v>
      </c>
      <c r="J64" s="19">
        <f t="shared" si="87"/>
        <v>0</v>
      </c>
      <c r="K64" s="19">
        <f t="shared" si="87"/>
        <v>0</v>
      </c>
      <c r="L64" s="19">
        <f t="shared" si="87"/>
        <v>0</v>
      </c>
      <c r="M64" s="27" t="s">
        <v>38</v>
      </c>
      <c r="N64" s="19">
        <f aca="true" t="shared" si="88" ref="N64:AC64">N65</f>
        <v>0</v>
      </c>
      <c r="O64" s="19">
        <f t="shared" si="88"/>
        <v>0</v>
      </c>
      <c r="P64" s="19">
        <f t="shared" si="88"/>
        <v>0</v>
      </c>
      <c r="Q64" s="19">
        <f t="shared" si="88"/>
        <v>0</v>
      </c>
      <c r="R64" s="24">
        <f t="shared" si="88"/>
        <v>1011</v>
      </c>
      <c r="S64" s="24">
        <f t="shared" si="88"/>
        <v>88</v>
      </c>
      <c r="T64" s="24">
        <f t="shared" si="88"/>
        <v>78</v>
      </c>
      <c r="U64" s="24">
        <f t="shared" si="88"/>
        <v>0</v>
      </c>
      <c r="V64" s="24">
        <f t="shared" si="88"/>
        <v>161</v>
      </c>
      <c r="W64" s="24">
        <f t="shared" si="88"/>
        <v>3</v>
      </c>
      <c r="X64" s="24">
        <f t="shared" si="88"/>
        <v>12</v>
      </c>
      <c r="Y64" s="24">
        <f t="shared" si="88"/>
        <v>0</v>
      </c>
      <c r="Z64" s="24">
        <f t="shared" si="88"/>
        <v>0</v>
      </c>
      <c r="AA64" s="24">
        <f t="shared" si="88"/>
        <v>0</v>
      </c>
      <c r="AB64" s="24">
        <f t="shared" si="88"/>
        <v>0</v>
      </c>
      <c r="AC64" s="24">
        <f t="shared" si="88"/>
        <v>0</v>
      </c>
      <c r="AD64" s="47" t="s">
        <v>70</v>
      </c>
      <c r="AE64" s="39">
        <f t="shared" si="21"/>
        <v>1172</v>
      </c>
      <c r="AF64" s="39">
        <f t="shared" si="41"/>
        <v>91</v>
      </c>
      <c r="AG64" s="39">
        <f t="shared" si="42"/>
        <v>90</v>
      </c>
      <c r="AH64" s="19">
        <f t="shared" si="43"/>
        <v>0</v>
      </c>
      <c r="AI64" s="24">
        <f aca="true" t="shared" si="89" ref="AI64:BF64">AI65</f>
        <v>0</v>
      </c>
      <c r="AJ64" s="24">
        <f t="shared" si="89"/>
        <v>0</v>
      </c>
      <c r="AK64" s="24">
        <f t="shared" si="89"/>
        <v>0</v>
      </c>
      <c r="AL64" s="24">
        <f t="shared" si="89"/>
        <v>0</v>
      </c>
      <c r="AM64" s="24">
        <f t="shared" si="89"/>
        <v>1018</v>
      </c>
      <c r="AN64" s="24">
        <f t="shared" si="89"/>
        <v>90</v>
      </c>
      <c r="AO64" s="24">
        <f t="shared" si="89"/>
        <v>86</v>
      </c>
      <c r="AP64" s="24">
        <f t="shared" si="89"/>
        <v>0</v>
      </c>
      <c r="AQ64" s="24">
        <f t="shared" si="89"/>
        <v>161</v>
      </c>
      <c r="AR64" s="24">
        <f t="shared" si="89"/>
        <v>4</v>
      </c>
      <c r="AS64" s="24">
        <f t="shared" si="89"/>
        <v>12</v>
      </c>
      <c r="AT64" s="24">
        <f t="shared" si="89"/>
        <v>0</v>
      </c>
      <c r="AU64" s="24">
        <f t="shared" si="89"/>
        <v>0</v>
      </c>
      <c r="AV64" s="24">
        <f t="shared" si="89"/>
        <v>0</v>
      </c>
      <c r="AW64" s="24">
        <f t="shared" si="89"/>
        <v>0</v>
      </c>
      <c r="AX64" s="24">
        <f t="shared" si="89"/>
        <v>0</v>
      </c>
      <c r="AY64" s="24">
        <f t="shared" si="89"/>
        <v>1179</v>
      </c>
      <c r="AZ64" s="24">
        <f t="shared" si="89"/>
        <v>94</v>
      </c>
      <c r="BA64" s="24">
        <f t="shared" si="89"/>
        <v>98</v>
      </c>
      <c r="BB64" s="24">
        <f t="shared" si="89"/>
        <v>0</v>
      </c>
      <c r="BC64" s="24">
        <f t="shared" si="89"/>
        <v>-7</v>
      </c>
      <c r="BD64" s="24">
        <f t="shared" si="89"/>
        <v>-3</v>
      </c>
      <c r="BE64" s="24">
        <f t="shared" si="89"/>
        <v>-8</v>
      </c>
      <c r="BF64" s="24">
        <f t="shared" si="89"/>
        <v>0</v>
      </c>
    </row>
    <row r="65" spans="1:58" ht="16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9" t="s">
        <v>39</v>
      </c>
      <c r="N65" s="19"/>
      <c r="O65" s="19"/>
      <c r="P65" s="19"/>
      <c r="Q65" s="19"/>
      <c r="R65" s="19">
        <f>998+13</f>
        <v>1011</v>
      </c>
      <c r="S65" s="19">
        <v>88</v>
      </c>
      <c r="T65" s="19">
        <f>77+1</f>
        <v>78</v>
      </c>
      <c r="U65" s="19"/>
      <c r="V65" s="19">
        <f>130+27+4</f>
        <v>161</v>
      </c>
      <c r="W65" s="19">
        <v>3</v>
      </c>
      <c r="X65" s="19">
        <f>7+5</f>
        <v>12</v>
      </c>
      <c r="Y65" s="19"/>
      <c r="Z65" s="19"/>
      <c r="AA65" s="19"/>
      <c r="AB65" s="19"/>
      <c r="AC65" s="19"/>
      <c r="AD65" s="29" t="s">
        <v>39</v>
      </c>
      <c r="AE65" s="19">
        <f t="shared" si="21"/>
        <v>1172</v>
      </c>
      <c r="AF65" s="19">
        <f t="shared" si="41"/>
        <v>91</v>
      </c>
      <c r="AG65" s="19">
        <f t="shared" si="42"/>
        <v>90</v>
      </c>
      <c r="AH65" s="19">
        <f t="shared" si="43"/>
        <v>0</v>
      </c>
      <c r="AI65" s="19"/>
      <c r="AJ65" s="19"/>
      <c r="AK65" s="19"/>
      <c r="AL65" s="19"/>
      <c r="AM65" s="19">
        <f>1005+13</f>
        <v>1018</v>
      </c>
      <c r="AN65" s="19">
        <v>90</v>
      </c>
      <c r="AO65" s="19">
        <f>85+1</f>
        <v>86</v>
      </c>
      <c r="AP65" s="19"/>
      <c r="AQ65" s="19">
        <f>130+27+4</f>
        <v>161</v>
      </c>
      <c r="AR65" s="19">
        <v>4</v>
      </c>
      <c r="AS65" s="19">
        <f>7+5</f>
        <v>12</v>
      </c>
      <c r="AT65" s="19"/>
      <c r="AU65" s="19"/>
      <c r="AV65" s="19"/>
      <c r="AW65" s="19"/>
      <c r="AX65" s="19"/>
      <c r="AY65" s="19">
        <f>AI65+AM65+AQ65+AU65</f>
        <v>1179</v>
      </c>
      <c r="AZ65" s="19">
        <f>AJ65+AN65+AR65+AV65</f>
        <v>94</v>
      </c>
      <c r="BA65" s="19">
        <f>AK65+AO65+AS65+AW65</f>
        <v>98</v>
      </c>
      <c r="BB65" s="19">
        <f>AL65+AP65+AT65+AX65</f>
        <v>0</v>
      </c>
      <c r="BC65" s="19">
        <f>AE65-AY65</f>
        <v>-7</v>
      </c>
      <c r="BD65" s="19">
        <f>AF65-AZ65</f>
        <v>-3</v>
      </c>
      <c r="BE65" s="19">
        <f>AG65-BA65</f>
        <v>-8</v>
      </c>
      <c r="BF65" s="19">
        <f>AH65-BB65</f>
        <v>0</v>
      </c>
    </row>
    <row r="66" spans="1:58" s="28" customFormat="1" ht="16.5" customHeight="1">
      <c r="A66" s="22">
        <f>A67</f>
        <v>0</v>
      </c>
      <c r="B66" s="22">
        <f aca="true" t="shared" si="90" ref="B66:L66">B67</f>
        <v>0</v>
      </c>
      <c r="C66" s="22">
        <f t="shared" si="90"/>
        <v>0</v>
      </c>
      <c r="D66" s="22">
        <f t="shared" si="90"/>
        <v>0</v>
      </c>
      <c r="E66" s="22">
        <f t="shared" si="90"/>
        <v>0</v>
      </c>
      <c r="F66" s="22">
        <f t="shared" si="90"/>
        <v>0</v>
      </c>
      <c r="G66" s="22">
        <f t="shared" si="90"/>
        <v>0</v>
      </c>
      <c r="H66" s="22">
        <f t="shared" si="90"/>
        <v>0</v>
      </c>
      <c r="I66" s="22">
        <f t="shared" si="90"/>
        <v>0</v>
      </c>
      <c r="J66" s="22">
        <f t="shared" si="90"/>
        <v>0</v>
      </c>
      <c r="K66" s="22">
        <f t="shared" si="90"/>
        <v>0</v>
      </c>
      <c r="L66" s="22">
        <f t="shared" si="90"/>
        <v>0</v>
      </c>
      <c r="M66" s="27" t="s">
        <v>40</v>
      </c>
      <c r="N66" s="24">
        <f aca="true" t="shared" si="91" ref="N66:AC66">N67</f>
        <v>0</v>
      </c>
      <c r="O66" s="24">
        <f t="shared" si="91"/>
        <v>0</v>
      </c>
      <c r="P66" s="24">
        <f t="shared" si="91"/>
        <v>0</v>
      </c>
      <c r="Q66" s="24">
        <f t="shared" si="91"/>
        <v>0</v>
      </c>
      <c r="R66" s="24">
        <f t="shared" si="91"/>
        <v>2187</v>
      </c>
      <c r="S66" s="24">
        <f t="shared" si="91"/>
        <v>0</v>
      </c>
      <c r="T66" s="24">
        <f t="shared" si="91"/>
        <v>295</v>
      </c>
      <c r="U66" s="24">
        <f t="shared" si="91"/>
        <v>0</v>
      </c>
      <c r="V66" s="24">
        <f t="shared" si="91"/>
        <v>110</v>
      </c>
      <c r="W66" s="24">
        <f t="shared" si="91"/>
        <v>0</v>
      </c>
      <c r="X66" s="24">
        <f t="shared" si="91"/>
        <v>20</v>
      </c>
      <c r="Y66" s="24">
        <f t="shared" si="91"/>
        <v>0</v>
      </c>
      <c r="Z66" s="24">
        <f t="shared" si="91"/>
        <v>0</v>
      </c>
      <c r="AA66" s="24">
        <f t="shared" si="91"/>
        <v>0</v>
      </c>
      <c r="AB66" s="24">
        <f t="shared" si="91"/>
        <v>0</v>
      </c>
      <c r="AC66" s="24">
        <f t="shared" si="91"/>
        <v>0</v>
      </c>
      <c r="AD66" s="47" t="s">
        <v>71</v>
      </c>
      <c r="AE66" s="39">
        <f t="shared" si="21"/>
        <v>2297</v>
      </c>
      <c r="AF66" s="39">
        <f t="shared" si="41"/>
        <v>0</v>
      </c>
      <c r="AG66" s="39">
        <f t="shared" si="42"/>
        <v>315</v>
      </c>
      <c r="AH66" s="24">
        <f t="shared" si="43"/>
        <v>0</v>
      </c>
      <c r="AI66" s="24">
        <f aca="true" t="shared" si="92" ref="AI66:BF66">AI67</f>
        <v>0</v>
      </c>
      <c r="AJ66" s="24">
        <f t="shared" si="92"/>
        <v>0</v>
      </c>
      <c r="AK66" s="24">
        <f t="shared" si="92"/>
        <v>0</v>
      </c>
      <c r="AL66" s="24">
        <f t="shared" si="92"/>
        <v>0</v>
      </c>
      <c r="AM66" s="24">
        <f t="shared" si="92"/>
        <v>2721</v>
      </c>
      <c r="AN66" s="24">
        <f t="shared" si="92"/>
        <v>0</v>
      </c>
      <c r="AO66" s="24">
        <f t="shared" si="92"/>
        <v>316</v>
      </c>
      <c r="AP66" s="24">
        <f t="shared" si="92"/>
        <v>0</v>
      </c>
      <c r="AQ66" s="24">
        <f t="shared" si="92"/>
        <v>97</v>
      </c>
      <c r="AR66" s="24">
        <f t="shared" si="92"/>
        <v>0</v>
      </c>
      <c r="AS66" s="24">
        <f t="shared" si="92"/>
        <v>10</v>
      </c>
      <c r="AT66" s="24">
        <f t="shared" si="92"/>
        <v>0</v>
      </c>
      <c r="AU66" s="24">
        <f t="shared" si="92"/>
        <v>0</v>
      </c>
      <c r="AV66" s="24">
        <f t="shared" si="92"/>
        <v>0</v>
      </c>
      <c r="AW66" s="24">
        <f t="shared" si="92"/>
        <v>0</v>
      </c>
      <c r="AX66" s="24">
        <f t="shared" si="92"/>
        <v>0</v>
      </c>
      <c r="AY66" s="24">
        <f t="shared" si="92"/>
        <v>2818</v>
      </c>
      <c r="AZ66" s="24">
        <f t="shared" si="92"/>
        <v>0</v>
      </c>
      <c r="BA66" s="24">
        <f t="shared" si="92"/>
        <v>326</v>
      </c>
      <c r="BB66" s="24">
        <f t="shared" si="92"/>
        <v>0</v>
      </c>
      <c r="BC66" s="24">
        <f t="shared" si="92"/>
        <v>-521</v>
      </c>
      <c r="BD66" s="24">
        <f t="shared" si="92"/>
        <v>0</v>
      </c>
      <c r="BE66" s="24">
        <f t="shared" si="92"/>
        <v>-11</v>
      </c>
      <c r="BF66" s="24">
        <f t="shared" si="92"/>
        <v>0</v>
      </c>
    </row>
    <row r="67" spans="1:58" ht="16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9" t="s">
        <v>41</v>
      </c>
      <c r="N67" s="19"/>
      <c r="O67" s="19"/>
      <c r="P67" s="19"/>
      <c r="Q67" s="19"/>
      <c r="R67" s="19">
        <f>1912+275</f>
        <v>2187</v>
      </c>
      <c r="S67" s="19"/>
      <c r="T67" s="19">
        <f>88+207</f>
        <v>295</v>
      </c>
      <c r="U67" s="19"/>
      <c r="V67" s="19">
        <v>110</v>
      </c>
      <c r="W67" s="19"/>
      <c r="X67" s="19">
        <v>20</v>
      </c>
      <c r="Y67" s="19"/>
      <c r="Z67" s="19"/>
      <c r="AA67" s="19"/>
      <c r="AB67" s="19"/>
      <c r="AC67" s="19"/>
      <c r="AD67" s="29" t="s">
        <v>41</v>
      </c>
      <c r="AE67" s="19">
        <f t="shared" si="21"/>
        <v>2297</v>
      </c>
      <c r="AF67" s="19">
        <f t="shared" si="41"/>
        <v>0</v>
      </c>
      <c r="AG67" s="19">
        <f t="shared" si="42"/>
        <v>315</v>
      </c>
      <c r="AH67" s="19">
        <f t="shared" si="43"/>
        <v>0</v>
      </c>
      <c r="AI67" s="19"/>
      <c r="AJ67" s="19"/>
      <c r="AK67" s="19"/>
      <c r="AL67" s="19"/>
      <c r="AM67" s="19">
        <f>2156+565</f>
        <v>2721</v>
      </c>
      <c r="AN67" s="19"/>
      <c r="AO67" s="19">
        <f>92+224</f>
        <v>316</v>
      </c>
      <c r="AP67" s="19"/>
      <c r="AQ67" s="19">
        <v>97</v>
      </c>
      <c r="AR67" s="19"/>
      <c r="AS67" s="19">
        <v>10</v>
      </c>
      <c r="AT67" s="19"/>
      <c r="AU67" s="19"/>
      <c r="AV67" s="19"/>
      <c r="AW67" s="19"/>
      <c r="AX67" s="19"/>
      <c r="AY67" s="19">
        <f>AI67+AM67+AQ67+AU67</f>
        <v>2818</v>
      </c>
      <c r="AZ67" s="19">
        <f>AJ67+AN67+AR67+AV67</f>
        <v>0</v>
      </c>
      <c r="BA67" s="19">
        <f>AK67+AO67+AS67+AW67</f>
        <v>326</v>
      </c>
      <c r="BB67" s="19">
        <f>AL67+AP67+AT67+AX67</f>
        <v>0</v>
      </c>
      <c r="BC67" s="19">
        <f>AE67-AY67</f>
        <v>-521</v>
      </c>
      <c r="BD67" s="19">
        <f>AF67-AZ67</f>
        <v>0</v>
      </c>
      <c r="BE67" s="19">
        <f>AG67-BA67</f>
        <v>-11</v>
      </c>
      <c r="BF67" s="19">
        <f>AH67-BB67</f>
        <v>0</v>
      </c>
    </row>
    <row r="68" spans="1:58" ht="16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9"/>
      <c r="AE68" s="19">
        <f t="shared" si="21"/>
        <v>0</v>
      </c>
      <c r="AF68" s="19">
        <f t="shared" si="41"/>
        <v>0</v>
      </c>
      <c r="AG68" s="19">
        <f t="shared" si="42"/>
        <v>0</v>
      </c>
      <c r="AH68" s="19">
        <f t="shared" si="43"/>
        <v>0</v>
      </c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1:58" ht="16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9"/>
      <c r="AE69" s="19">
        <f t="shared" si="21"/>
        <v>0</v>
      </c>
      <c r="AF69" s="19">
        <f t="shared" si="41"/>
        <v>0</v>
      </c>
      <c r="AG69" s="19">
        <f t="shared" si="42"/>
        <v>0</v>
      </c>
      <c r="AH69" s="19">
        <f t="shared" si="43"/>
        <v>0</v>
      </c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1:58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9"/>
      <c r="AE70" s="19">
        <f t="shared" si="21"/>
        <v>0</v>
      </c>
      <c r="AF70" s="19">
        <f t="shared" si="41"/>
        <v>0</v>
      </c>
      <c r="AG70" s="19">
        <f t="shared" si="42"/>
        <v>0</v>
      </c>
      <c r="AH70" s="19">
        <f t="shared" si="43"/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1:58" ht="16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9"/>
      <c r="AE71" s="19">
        <f t="shared" si="21"/>
        <v>0</v>
      </c>
      <c r="AF71" s="19">
        <f t="shared" si="41"/>
        <v>0</v>
      </c>
      <c r="AG71" s="19">
        <f t="shared" si="42"/>
        <v>0</v>
      </c>
      <c r="AH71" s="19">
        <f t="shared" si="43"/>
        <v>0</v>
      </c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1:58" ht="16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9"/>
      <c r="AE72" s="19">
        <f t="shared" si="21"/>
        <v>0</v>
      </c>
      <c r="AF72" s="19">
        <f t="shared" si="41"/>
        <v>0</v>
      </c>
      <c r="AG72" s="19">
        <f t="shared" si="42"/>
        <v>0</v>
      </c>
      <c r="AH72" s="19">
        <f t="shared" si="43"/>
        <v>0</v>
      </c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1:58" ht="16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9"/>
      <c r="AE73" s="19">
        <f t="shared" si="21"/>
        <v>0</v>
      </c>
      <c r="AF73" s="19">
        <f t="shared" si="41"/>
        <v>0</v>
      </c>
      <c r="AG73" s="19">
        <f t="shared" si="42"/>
        <v>0</v>
      </c>
      <c r="AH73" s="19">
        <f t="shared" si="43"/>
        <v>0</v>
      </c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8" ht="16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9"/>
      <c r="AE74" s="19">
        <f t="shared" si="21"/>
        <v>0</v>
      </c>
      <c r="AF74" s="19">
        <f t="shared" si="41"/>
        <v>0</v>
      </c>
      <c r="AG74" s="19">
        <f t="shared" si="42"/>
        <v>0</v>
      </c>
      <c r="AH74" s="19">
        <f t="shared" si="43"/>
        <v>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1:58" ht="16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1:58" ht="16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1:58" ht="16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1:58" ht="16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1:58" ht="16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29"/>
      <c r="AE79" s="19">
        <f t="shared" si="21"/>
        <v>0</v>
      </c>
      <c r="AF79" s="19">
        <f t="shared" si="41"/>
        <v>0</v>
      </c>
      <c r="AG79" s="19">
        <f t="shared" si="42"/>
        <v>0</v>
      </c>
      <c r="AH79" s="19">
        <f t="shared" si="43"/>
        <v>0</v>
      </c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1:58" ht="16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29"/>
      <c r="AE80" s="19">
        <f t="shared" si="21"/>
        <v>0</v>
      </c>
      <c r="AF80" s="19">
        <f t="shared" si="41"/>
        <v>0</v>
      </c>
      <c r="AG80" s="19">
        <f t="shared" si="42"/>
        <v>0</v>
      </c>
      <c r="AH80" s="19">
        <f t="shared" si="43"/>
        <v>0</v>
      </c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1:58" ht="16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29"/>
      <c r="AE81" s="19">
        <f t="shared" si="21"/>
        <v>0</v>
      </c>
      <c r="AF81" s="19">
        <f t="shared" si="41"/>
        <v>0</v>
      </c>
      <c r="AG81" s="19">
        <f t="shared" si="42"/>
        <v>0</v>
      </c>
      <c r="AH81" s="19">
        <f t="shared" si="43"/>
        <v>0</v>
      </c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1:58" ht="16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9"/>
      <c r="AE82" s="19">
        <f t="shared" si="21"/>
        <v>0</v>
      </c>
      <c r="AF82" s="19">
        <f t="shared" si="41"/>
        <v>0</v>
      </c>
      <c r="AG82" s="19">
        <f t="shared" si="42"/>
        <v>0</v>
      </c>
      <c r="AH82" s="19">
        <f t="shared" si="43"/>
        <v>0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1:58" ht="16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4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9"/>
      <c r="AE83" s="19">
        <f t="shared" si="21"/>
        <v>0</v>
      </c>
      <c r="AF83" s="19">
        <f t="shared" si="41"/>
        <v>0</v>
      </c>
      <c r="AG83" s="19">
        <f t="shared" si="42"/>
        <v>0</v>
      </c>
      <c r="AH83" s="19">
        <f t="shared" si="43"/>
        <v>0</v>
      </c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1:58" ht="16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29"/>
      <c r="AE84" s="19">
        <f t="shared" si="21"/>
        <v>0</v>
      </c>
      <c r="AF84" s="19">
        <f t="shared" si="41"/>
        <v>0</v>
      </c>
      <c r="AG84" s="19">
        <f t="shared" si="42"/>
        <v>0</v>
      </c>
      <c r="AH84" s="19">
        <f t="shared" si="43"/>
        <v>0</v>
      </c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1:58" s="44" customFormat="1" ht="16.5" customHeight="1" thickBot="1">
      <c r="A85" s="42">
        <f aca="true" t="shared" si="93" ref="A85:L85">A66+A64+A60+A50+A48+A29+A12+A8</f>
        <v>3159</v>
      </c>
      <c r="B85" s="42">
        <f t="shared" si="93"/>
        <v>2</v>
      </c>
      <c r="C85" s="42">
        <f t="shared" si="93"/>
        <v>3302</v>
      </c>
      <c r="D85" s="42">
        <f t="shared" si="93"/>
        <v>0</v>
      </c>
      <c r="E85" s="42">
        <f t="shared" si="93"/>
        <v>3711</v>
      </c>
      <c r="F85" s="42">
        <f t="shared" si="93"/>
        <v>0</v>
      </c>
      <c r="G85" s="42">
        <f t="shared" si="93"/>
        <v>3703</v>
      </c>
      <c r="H85" s="42">
        <f t="shared" si="93"/>
        <v>0</v>
      </c>
      <c r="I85" s="42">
        <f t="shared" si="93"/>
        <v>-552</v>
      </c>
      <c r="J85" s="42">
        <f t="shared" si="93"/>
        <v>2</v>
      </c>
      <c r="K85" s="42">
        <f t="shared" si="93"/>
        <v>-401</v>
      </c>
      <c r="L85" s="42">
        <f t="shared" si="93"/>
        <v>0</v>
      </c>
      <c r="M85" s="43" t="s">
        <v>61</v>
      </c>
      <c r="N85" s="42">
        <f aca="true" t="shared" si="94" ref="N85:AC85">N66+N64+N60+N50+N48+N29+N12+N8</f>
        <v>44782</v>
      </c>
      <c r="O85" s="42">
        <f t="shared" si="94"/>
        <v>282</v>
      </c>
      <c r="P85" s="42">
        <f t="shared" si="94"/>
        <v>49431</v>
      </c>
      <c r="Q85" s="42">
        <f t="shared" si="94"/>
        <v>4927</v>
      </c>
      <c r="R85" s="42">
        <f t="shared" si="94"/>
        <v>41634</v>
      </c>
      <c r="S85" s="42">
        <f t="shared" si="94"/>
        <v>2090</v>
      </c>
      <c r="T85" s="42">
        <f t="shared" si="94"/>
        <v>17708</v>
      </c>
      <c r="U85" s="42">
        <f t="shared" si="94"/>
        <v>1327</v>
      </c>
      <c r="V85" s="42">
        <f t="shared" si="94"/>
        <v>6327</v>
      </c>
      <c r="W85" s="42">
        <f t="shared" si="94"/>
        <v>135</v>
      </c>
      <c r="X85" s="42">
        <f t="shared" si="94"/>
        <v>1570</v>
      </c>
      <c r="Y85" s="42">
        <f t="shared" si="94"/>
        <v>75</v>
      </c>
      <c r="Z85" s="42">
        <f t="shared" si="94"/>
        <v>2936</v>
      </c>
      <c r="AA85" s="42">
        <f t="shared" si="94"/>
        <v>13</v>
      </c>
      <c r="AB85" s="42">
        <f t="shared" si="94"/>
        <v>1306</v>
      </c>
      <c r="AC85" s="42">
        <f t="shared" si="94"/>
        <v>40</v>
      </c>
      <c r="AD85" s="62" t="s">
        <v>42</v>
      </c>
      <c r="AE85" s="42">
        <f>AE66+AE64+AE60+AE50+AE48+AE29+AE12+AE8</f>
        <v>95679</v>
      </c>
      <c r="AF85" s="42">
        <f>AF66+AF64+AF60+AF50+AF48+AF29+AF12+AF8</f>
        <v>2520</v>
      </c>
      <c r="AG85" s="42">
        <f>AG66+AG64+AG60+AG50+AG48+AG29+AG12+AG8</f>
        <v>70015</v>
      </c>
      <c r="AH85" s="42">
        <f>AH66+AH64+AH60+AH50+AH48+AH29+AH12+AH8</f>
        <v>6369</v>
      </c>
      <c r="AI85" s="42">
        <f aca="true" t="shared" si="95" ref="AI85:BF85">AI66+AI64+AI60+AI50+AI48+AI29+AI12+AI8</f>
        <v>51617</v>
      </c>
      <c r="AJ85" s="42">
        <f t="shared" si="95"/>
        <v>474</v>
      </c>
      <c r="AK85" s="42">
        <f t="shared" si="95"/>
        <v>53232</v>
      </c>
      <c r="AL85" s="42">
        <f t="shared" si="95"/>
        <v>2696</v>
      </c>
      <c r="AM85" s="42">
        <f t="shared" si="95"/>
        <v>43809</v>
      </c>
      <c r="AN85" s="42">
        <f t="shared" si="95"/>
        <v>1371</v>
      </c>
      <c r="AO85" s="42">
        <f t="shared" si="95"/>
        <v>18515</v>
      </c>
      <c r="AP85" s="42">
        <f t="shared" si="95"/>
        <v>105</v>
      </c>
      <c r="AQ85" s="42">
        <f t="shared" si="95"/>
        <v>7041</v>
      </c>
      <c r="AR85" s="42">
        <f t="shared" si="95"/>
        <v>124</v>
      </c>
      <c r="AS85" s="42">
        <f t="shared" si="95"/>
        <v>1769</v>
      </c>
      <c r="AT85" s="42">
        <f t="shared" si="95"/>
        <v>79</v>
      </c>
      <c r="AU85" s="42">
        <f t="shared" si="95"/>
        <v>3386</v>
      </c>
      <c r="AV85" s="42">
        <f t="shared" si="95"/>
        <v>12</v>
      </c>
      <c r="AW85" s="42">
        <f t="shared" si="95"/>
        <v>1649</v>
      </c>
      <c r="AX85" s="42">
        <f t="shared" si="95"/>
        <v>53</v>
      </c>
      <c r="AY85" s="42">
        <f t="shared" si="95"/>
        <v>105853</v>
      </c>
      <c r="AZ85" s="42">
        <f t="shared" si="95"/>
        <v>1981</v>
      </c>
      <c r="BA85" s="42">
        <f t="shared" si="95"/>
        <v>75165</v>
      </c>
      <c r="BB85" s="42">
        <f t="shared" si="95"/>
        <v>2933</v>
      </c>
      <c r="BC85" s="42">
        <f t="shared" si="95"/>
        <v>-10174</v>
      </c>
      <c r="BD85" s="42">
        <f t="shared" si="95"/>
        <v>539</v>
      </c>
      <c r="BE85" s="42">
        <f t="shared" si="95"/>
        <v>-5150</v>
      </c>
      <c r="BF85" s="42">
        <f t="shared" si="95"/>
        <v>3436</v>
      </c>
    </row>
  </sheetData>
  <mergeCells count="4">
    <mergeCell ref="AE4:AH4"/>
    <mergeCell ref="AU5:AX5"/>
    <mergeCell ref="AY5:BB5"/>
    <mergeCell ref="AQ5:AT5"/>
  </mergeCells>
  <printOptions horizontalCentered="1"/>
  <pageMargins left="0.3937007874015748" right="0.3937007874015748" top="0.7874015748031497" bottom="0.7874015748031497" header="0.11811023622047245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2003-05-21T09:39:42Z</cp:lastPrinted>
  <dcterms:created xsi:type="dcterms:W3CDTF">1998-10-13T10:37:55Z</dcterms:created>
  <dcterms:modified xsi:type="dcterms:W3CDTF">2008-11-13T10:10:00Z</dcterms:modified>
  <cp:category>I14</cp:category>
  <cp:version/>
  <cp:contentType/>
  <cp:contentStatus/>
</cp:coreProperties>
</file>