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635" yWindow="65521" windowWidth="7680" windowHeight="9015" tabRatio="688" activeTab="0"/>
  </bookViews>
  <sheets>
    <sheet name="總表 " sheetId="1" r:id="rId1"/>
    <sheet name="驗算" sheetId="2" state="hidden" r:id="rId2"/>
    <sheet name="3" sheetId="3" state="hidden" r:id="rId3"/>
    <sheet name="6" sheetId="4" state="hidden" r:id="rId4"/>
    <sheet name="1" sheetId="5" state="hidden" r:id="rId5"/>
    <sheet name="2" sheetId="6" state="hidden" r:id="rId6"/>
    <sheet name="4" sheetId="7" state="hidden" r:id="rId7"/>
    <sheet name="5" sheetId="8" state="hidden" r:id="rId8"/>
    <sheet name="7" sheetId="9" state="hidden" r:id="rId9"/>
    <sheet name="8" sheetId="10" state="hidden" r:id="rId10"/>
    <sheet name="9" sheetId="11" state="hidden" r:id="rId11"/>
    <sheet name="10" sheetId="12" state="hidden" r:id="rId12"/>
    <sheet name="11" sheetId="13" state="hidden" r:id="rId13"/>
    <sheet name="12" sheetId="14" state="hidden" r:id="rId14"/>
    <sheet name="13" sheetId="15" state="hidden" r:id="rId15"/>
    <sheet name="14" sheetId="16" state="hidden" r:id="rId16"/>
    <sheet name="15" sheetId="17" state="hidden" r:id="rId17"/>
    <sheet name="16" sheetId="18" state="hidden" r:id="rId18"/>
    <sheet name="17" sheetId="19" state="hidden" r:id="rId19"/>
    <sheet name="18" sheetId="20" state="hidden" r:id="rId20"/>
    <sheet name="19" sheetId="21" state="hidden" r:id="rId21"/>
    <sheet name="20" sheetId="22" state="hidden" r:id="rId22"/>
    <sheet name="21" sheetId="23" state="hidden" r:id="rId23"/>
    <sheet name="22" sheetId="24" state="hidden" r:id="rId24"/>
    <sheet name="23" sheetId="25" state="hidden" r:id="rId25"/>
    <sheet name="24" sheetId="26" state="hidden" r:id="rId26"/>
    <sheet name="25" sheetId="27" state="hidden" r:id="rId27"/>
    <sheet name="26" sheetId="28" state="hidden" r:id="rId28"/>
    <sheet name="27" sheetId="29" state="hidden" r:id="rId29"/>
    <sheet name="6(1)" sheetId="30" state="hidden" r:id="rId30"/>
  </sheets>
  <externalReferences>
    <externalReference r:id="rId33"/>
    <externalReference r:id="rId34"/>
    <externalReference r:id="rId35"/>
  </externalReferences>
  <definedNames/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L5" authorId="0">
      <text>
        <r>
          <rPr>
            <b/>
            <sz val="12"/>
            <rFont val="新細明體"/>
            <family val="1"/>
          </rPr>
          <t>統籌2,125,057,518</t>
        </r>
      </text>
    </comment>
    <comment ref="L8" authorId="0">
      <text>
        <r>
          <rPr>
            <b/>
            <sz val="12"/>
            <rFont val="新細明體"/>
            <family val="1"/>
          </rPr>
          <t xml:space="preserve">統籌49,259,000
</t>
        </r>
      </text>
    </comment>
  </commentList>
</comments>
</file>

<file path=xl/sharedStrings.xml><?xml version="1.0" encoding="utf-8"?>
<sst xmlns="http://schemas.openxmlformats.org/spreadsheetml/2006/main" count="3796" uniqueCount="222">
  <si>
    <t>單位：新臺幣千元</t>
  </si>
  <si>
    <r>
      <t>經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性</t>
    </r>
  </si>
  <si>
    <r>
      <t>經</t>
    </r>
    <r>
      <rPr>
        <sz val="12"/>
        <rFont val="Times New Roman"/>
        <family val="1"/>
      </rPr>
      <t xml:space="preserve">                               </t>
    </r>
    <r>
      <rPr>
        <sz val="12"/>
        <rFont val="新細明體"/>
        <family val="1"/>
      </rPr>
      <t>常</t>
    </r>
    <r>
      <rPr>
        <sz val="12"/>
        <rFont val="Times New Roman"/>
        <family val="1"/>
      </rPr>
      <t xml:space="preserve">                             </t>
    </r>
    <r>
      <rPr>
        <sz val="12"/>
        <rFont val="新細明體"/>
        <family val="1"/>
      </rPr>
      <t>支</t>
    </r>
    <r>
      <rPr>
        <sz val="12"/>
        <rFont val="Times New Roman"/>
        <family val="1"/>
      </rPr>
      <t xml:space="preserve">                                </t>
    </r>
    <r>
      <rPr>
        <sz val="12"/>
        <rFont val="新細明體"/>
        <family val="1"/>
      </rPr>
      <t>出</t>
    </r>
  </si>
  <si>
    <r>
      <t>分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類</t>
    </r>
  </si>
  <si>
    <t>受員</t>
  </si>
  <si>
    <t>商購</t>
  </si>
  <si>
    <t>債</t>
  </si>
  <si>
    <t>土支</t>
  </si>
  <si>
    <r>
      <t>經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常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移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轉</t>
    </r>
  </si>
  <si>
    <r>
      <t>投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資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及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資</t>
    </r>
  </si>
  <si>
    <t>資</t>
  </si>
  <si>
    <t>土</t>
  </si>
  <si>
    <t>無購</t>
  </si>
  <si>
    <t>資合</t>
  </si>
  <si>
    <t>總</t>
  </si>
  <si>
    <t>品買</t>
  </si>
  <si>
    <t>務</t>
  </si>
  <si>
    <t xml:space="preserve"> </t>
  </si>
  <si>
    <t>地</t>
  </si>
  <si>
    <t>雇報</t>
  </si>
  <si>
    <t>對</t>
  </si>
  <si>
    <t>對及非機</t>
  </si>
  <si>
    <t>營基</t>
  </si>
  <si>
    <t>民企</t>
  </si>
  <si>
    <t>住</t>
  </si>
  <si>
    <t>非</t>
  </si>
  <si>
    <t>營工</t>
  </si>
  <si>
    <t>運工</t>
  </si>
  <si>
    <t>機其設</t>
  </si>
  <si>
    <t>土改</t>
  </si>
  <si>
    <r>
      <t>職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別</t>
    </r>
  </si>
  <si>
    <t>勞支</t>
  </si>
  <si>
    <t>利</t>
  </si>
  <si>
    <t>企</t>
  </si>
  <si>
    <t>家民營構</t>
  </si>
  <si>
    <t>政</t>
  </si>
  <si>
    <t>國</t>
  </si>
  <si>
    <t>購</t>
  </si>
  <si>
    <t>器</t>
  </si>
  <si>
    <t>計</t>
  </si>
  <si>
    <t>人酬</t>
  </si>
  <si>
    <t>務出</t>
  </si>
  <si>
    <t>息</t>
  </si>
  <si>
    <t>金出</t>
  </si>
  <si>
    <t>業</t>
  </si>
  <si>
    <t>庭間利構</t>
  </si>
  <si>
    <t>府</t>
  </si>
  <si>
    <t>外</t>
  </si>
  <si>
    <t>出計</t>
  </si>
  <si>
    <t>業金</t>
  </si>
  <si>
    <r>
      <t>業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金</t>
    </r>
  </si>
  <si>
    <t>間業</t>
  </si>
  <si>
    <t>入</t>
  </si>
  <si>
    <t>產入</t>
  </si>
  <si>
    <t>宅</t>
  </si>
  <si>
    <t>建程</t>
  </si>
  <si>
    <t>輸具</t>
  </si>
  <si>
    <t>及他備</t>
  </si>
  <si>
    <t>地良</t>
  </si>
  <si>
    <r>
      <t xml:space="preserve">    </t>
    </r>
    <r>
      <rPr>
        <sz val="12"/>
        <rFont val="新細明體"/>
        <family val="1"/>
      </rPr>
      <t>總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</t>
    </r>
  </si>
  <si>
    <r>
      <t xml:space="preserve">01 </t>
    </r>
    <r>
      <rPr>
        <sz val="12"/>
        <rFont val="新細明體"/>
        <family val="1"/>
      </rPr>
      <t>一般公共事務</t>
    </r>
  </si>
  <si>
    <r>
      <t xml:space="preserve">02 </t>
    </r>
    <r>
      <rPr>
        <sz val="12"/>
        <rFont val="新細明體"/>
        <family val="1"/>
      </rPr>
      <t>防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衛</t>
    </r>
  </si>
  <si>
    <r>
      <t xml:space="preserve">03 </t>
    </r>
    <r>
      <rPr>
        <sz val="12"/>
        <rFont val="新細明體"/>
        <family val="1"/>
      </rPr>
      <t>公共秩序與安全</t>
    </r>
  </si>
  <si>
    <r>
      <t xml:space="preserve">04 </t>
    </r>
    <r>
      <rPr>
        <sz val="12"/>
        <rFont val="新細明體"/>
        <family val="1"/>
      </rPr>
      <t>教育</t>
    </r>
  </si>
  <si>
    <r>
      <t xml:space="preserve">05 </t>
    </r>
    <r>
      <rPr>
        <sz val="12"/>
        <rFont val="新細明體"/>
        <family val="1"/>
      </rPr>
      <t>保健</t>
    </r>
  </si>
  <si>
    <r>
      <t xml:space="preserve">06 </t>
    </r>
    <r>
      <rPr>
        <sz val="12"/>
        <rFont val="新細明體"/>
        <family val="1"/>
      </rPr>
      <t>社會安全與福利</t>
    </r>
  </si>
  <si>
    <r>
      <t xml:space="preserve">07 </t>
    </r>
    <r>
      <rPr>
        <sz val="12"/>
        <rFont val="新細明體"/>
        <family val="1"/>
      </rPr>
      <t>住宅及社區服務</t>
    </r>
  </si>
  <si>
    <r>
      <t xml:space="preserve">08 </t>
    </r>
    <r>
      <rPr>
        <sz val="12"/>
        <rFont val="新細明體"/>
        <family val="1"/>
      </rPr>
      <t>娛樂、文化、宗教</t>
    </r>
  </si>
  <si>
    <r>
      <t xml:space="preserve">09 </t>
    </r>
    <r>
      <rPr>
        <sz val="12"/>
        <rFont val="新細明體"/>
        <family val="1"/>
      </rPr>
      <t>燃料、能源</t>
    </r>
  </si>
  <si>
    <r>
      <t xml:space="preserve">10 </t>
    </r>
    <r>
      <rPr>
        <sz val="12"/>
        <rFont val="新細明體"/>
        <family val="1"/>
      </rPr>
      <t>農、林、漁、牧業</t>
    </r>
  </si>
  <si>
    <r>
      <t xml:space="preserve">11 </t>
    </r>
    <r>
      <rPr>
        <sz val="12"/>
        <rFont val="新細明體"/>
        <family val="1"/>
      </rPr>
      <t>礦業、製造業、營造業</t>
    </r>
  </si>
  <si>
    <r>
      <t xml:space="preserve">12 </t>
    </r>
    <r>
      <rPr>
        <sz val="12"/>
        <rFont val="新細明體"/>
        <family val="1"/>
      </rPr>
      <t>運輸及通信</t>
    </r>
  </si>
  <si>
    <r>
      <t xml:space="preserve">13 </t>
    </r>
    <r>
      <rPr>
        <sz val="12"/>
        <rFont val="新細明體"/>
        <family val="1"/>
      </rPr>
      <t>其他經濟服務業</t>
    </r>
  </si>
  <si>
    <r>
      <t xml:space="preserve">14 </t>
    </r>
    <r>
      <rPr>
        <sz val="12"/>
        <rFont val="新細明體"/>
        <family val="1"/>
      </rPr>
      <t>其他支出</t>
    </r>
  </si>
  <si>
    <t>國大</t>
  </si>
  <si>
    <t>總統</t>
  </si>
  <si>
    <t>行政</t>
  </si>
  <si>
    <t>立法</t>
  </si>
  <si>
    <t>司法</t>
  </si>
  <si>
    <t>考試</t>
  </si>
  <si>
    <t>監察</t>
  </si>
  <si>
    <t>內政</t>
  </si>
  <si>
    <t>外交</t>
  </si>
  <si>
    <t>國防</t>
  </si>
  <si>
    <t>財政</t>
  </si>
  <si>
    <t>教育</t>
  </si>
  <si>
    <t>交通</t>
  </si>
  <si>
    <t>蒙</t>
  </si>
  <si>
    <t>僑委</t>
  </si>
  <si>
    <t>退輔</t>
  </si>
  <si>
    <t>國科</t>
  </si>
  <si>
    <t>原子</t>
  </si>
  <si>
    <t>衛生</t>
  </si>
  <si>
    <t>環保</t>
  </si>
  <si>
    <t>其他</t>
  </si>
  <si>
    <r>
      <t>中</t>
    </r>
    <r>
      <rPr>
        <b/>
        <u val="single"/>
        <sz val="16"/>
        <rFont val="Times New Roman"/>
        <family val="1"/>
      </rPr>
      <t xml:space="preserve">    </t>
    </r>
    <r>
      <rPr>
        <b/>
        <u val="single"/>
        <sz val="16"/>
        <rFont val="新細明體"/>
        <family val="1"/>
      </rPr>
      <t>央</t>
    </r>
    <r>
      <rPr>
        <b/>
        <u val="single"/>
        <sz val="16"/>
        <rFont val="Times New Roman"/>
        <family val="1"/>
      </rPr>
      <t xml:space="preserve">    </t>
    </r>
    <r>
      <rPr>
        <b/>
        <u val="single"/>
        <sz val="16"/>
        <rFont val="新細明體"/>
        <family val="1"/>
      </rPr>
      <t>政</t>
    </r>
    <r>
      <rPr>
        <b/>
        <u val="single"/>
        <sz val="16"/>
        <rFont val="Times New Roman"/>
        <family val="1"/>
      </rPr>
      <t xml:space="preserve">    </t>
    </r>
    <r>
      <rPr>
        <b/>
        <u val="single"/>
        <sz val="16"/>
        <rFont val="新細明體"/>
        <family val="1"/>
      </rPr>
      <t>府</t>
    </r>
  </si>
  <si>
    <r>
      <t>總</t>
    </r>
    <r>
      <rPr>
        <b/>
        <u val="single"/>
        <sz val="16"/>
        <rFont val="Times New Roman"/>
        <family val="1"/>
      </rPr>
      <t xml:space="preserve">    </t>
    </r>
    <r>
      <rPr>
        <b/>
        <u val="single"/>
        <sz val="16"/>
        <rFont val="新細明體"/>
        <family val="1"/>
      </rPr>
      <t>決</t>
    </r>
    <r>
      <rPr>
        <b/>
        <u val="single"/>
        <sz val="16"/>
        <rFont val="Times New Roman"/>
        <family val="1"/>
      </rPr>
      <t xml:space="preserve">    </t>
    </r>
    <r>
      <rPr>
        <b/>
        <u val="single"/>
        <sz val="16"/>
        <rFont val="新細明體"/>
        <family val="1"/>
      </rPr>
      <t>算</t>
    </r>
  </si>
  <si>
    <r>
      <t>歲</t>
    </r>
    <r>
      <rPr>
        <b/>
        <u val="single"/>
        <sz val="20"/>
        <rFont val="Times New Roman"/>
        <family val="1"/>
      </rPr>
      <t xml:space="preserve">  </t>
    </r>
    <r>
      <rPr>
        <b/>
        <u val="single"/>
        <sz val="20"/>
        <rFont val="新細明體"/>
        <family val="1"/>
      </rPr>
      <t>出</t>
    </r>
    <r>
      <rPr>
        <b/>
        <u val="single"/>
        <sz val="20"/>
        <rFont val="Times New Roman"/>
        <family val="1"/>
      </rPr>
      <t xml:space="preserve">  </t>
    </r>
    <r>
      <rPr>
        <b/>
        <u val="single"/>
        <sz val="20"/>
        <rFont val="新細明體"/>
        <family val="1"/>
      </rPr>
      <t>按</t>
    </r>
    <r>
      <rPr>
        <b/>
        <u val="single"/>
        <sz val="20"/>
        <rFont val="Times New Roman"/>
        <family val="1"/>
      </rPr>
      <t xml:space="preserve">  </t>
    </r>
    <r>
      <rPr>
        <b/>
        <u val="single"/>
        <sz val="20"/>
        <rFont val="新細明體"/>
        <family val="1"/>
      </rPr>
      <t>職</t>
    </r>
    <r>
      <rPr>
        <b/>
        <u val="single"/>
        <sz val="20"/>
        <rFont val="Times New Roman"/>
        <family val="1"/>
      </rPr>
      <t xml:space="preserve">  </t>
    </r>
    <r>
      <rPr>
        <b/>
        <u val="single"/>
        <sz val="20"/>
        <rFont val="新細明體"/>
        <family val="1"/>
      </rPr>
      <t>能</t>
    </r>
    <r>
      <rPr>
        <b/>
        <u val="single"/>
        <sz val="20"/>
        <rFont val="Times New Roman"/>
        <family val="1"/>
      </rPr>
      <t xml:space="preserve">  </t>
    </r>
    <r>
      <rPr>
        <b/>
        <u val="single"/>
        <sz val="20"/>
        <rFont val="新細明體"/>
        <family val="1"/>
      </rPr>
      <t>及</t>
    </r>
  </si>
  <si>
    <r>
      <t>經</t>
    </r>
    <r>
      <rPr>
        <b/>
        <u val="single"/>
        <sz val="20"/>
        <rFont val="Times New Roman"/>
        <family val="1"/>
      </rPr>
      <t xml:space="preserve">  </t>
    </r>
    <r>
      <rPr>
        <b/>
        <u val="single"/>
        <sz val="20"/>
        <rFont val="新細明體"/>
        <family val="1"/>
      </rPr>
      <t>濟</t>
    </r>
    <r>
      <rPr>
        <b/>
        <u val="single"/>
        <sz val="20"/>
        <rFont val="Times New Roman"/>
        <family val="1"/>
      </rPr>
      <t xml:space="preserve">  </t>
    </r>
    <r>
      <rPr>
        <b/>
        <u val="single"/>
        <sz val="20"/>
        <rFont val="新細明體"/>
        <family val="1"/>
      </rPr>
      <t>性</t>
    </r>
    <r>
      <rPr>
        <b/>
        <u val="single"/>
        <sz val="20"/>
        <rFont val="Times New Roman"/>
        <family val="1"/>
      </rPr>
      <t xml:space="preserve">  </t>
    </r>
    <r>
      <rPr>
        <b/>
        <u val="single"/>
        <sz val="20"/>
        <rFont val="新細明體"/>
        <family val="1"/>
      </rPr>
      <t>綜</t>
    </r>
    <r>
      <rPr>
        <b/>
        <u val="single"/>
        <sz val="20"/>
        <rFont val="Times New Roman"/>
        <family val="1"/>
      </rPr>
      <t xml:space="preserve">  </t>
    </r>
    <r>
      <rPr>
        <b/>
        <u val="single"/>
        <sz val="20"/>
        <rFont val="新細明體"/>
        <family val="1"/>
      </rPr>
      <t>合</t>
    </r>
    <r>
      <rPr>
        <b/>
        <u val="single"/>
        <sz val="20"/>
        <rFont val="Times New Roman"/>
        <family val="1"/>
      </rPr>
      <t xml:space="preserve">  </t>
    </r>
    <r>
      <rPr>
        <b/>
        <u val="single"/>
        <sz val="20"/>
        <rFont val="新細明體"/>
        <family val="1"/>
      </rPr>
      <t>分</t>
    </r>
    <r>
      <rPr>
        <b/>
        <u val="single"/>
        <sz val="20"/>
        <rFont val="Times New Roman"/>
        <family val="1"/>
      </rPr>
      <t xml:space="preserve">  </t>
    </r>
    <r>
      <rPr>
        <b/>
        <u val="single"/>
        <sz val="20"/>
        <rFont val="新細明體"/>
        <family val="1"/>
      </rPr>
      <t>類</t>
    </r>
    <r>
      <rPr>
        <b/>
        <u val="single"/>
        <sz val="20"/>
        <rFont val="Times New Roman"/>
        <family val="1"/>
      </rPr>
      <t xml:space="preserve">  </t>
    </r>
    <r>
      <rPr>
        <b/>
        <u val="single"/>
        <sz val="20"/>
        <rFont val="新細明體"/>
        <family val="1"/>
      </rPr>
      <t>表</t>
    </r>
  </si>
  <si>
    <r>
      <t xml:space="preserve">14 </t>
    </r>
    <r>
      <rPr>
        <sz val="12"/>
        <rFont val="新細明體"/>
        <family val="1"/>
      </rPr>
      <t>其他支出</t>
    </r>
  </si>
  <si>
    <t>農委</t>
  </si>
  <si>
    <t>勞委</t>
  </si>
  <si>
    <t>法務</t>
  </si>
  <si>
    <t xml:space="preserve"> </t>
  </si>
  <si>
    <t xml:space="preserve"> </t>
  </si>
  <si>
    <t>總合計</t>
  </si>
  <si>
    <t>中        央        政        府</t>
  </si>
  <si>
    <t>總         決         算</t>
  </si>
  <si>
    <t>歲   出   按   職   能   及</t>
  </si>
  <si>
    <t>經   濟   性   綜   合   分   類   表</t>
  </si>
  <si>
    <t>中     央     政     府</t>
  </si>
  <si>
    <t>總     決     算</t>
  </si>
  <si>
    <t>經常支出
合        計</t>
  </si>
  <si>
    <t>海巡</t>
  </si>
  <si>
    <t>經濟</t>
  </si>
  <si>
    <t>原子</t>
  </si>
  <si>
    <t>國科</t>
  </si>
  <si>
    <t>高雄、各縣市</t>
  </si>
  <si>
    <t>台灣省、省諮、福建</t>
  </si>
  <si>
    <t>福建</t>
  </si>
  <si>
    <t>省諮</t>
  </si>
  <si>
    <t>省所屬</t>
  </si>
  <si>
    <t>災害</t>
  </si>
  <si>
    <t>經常支出
合        計</t>
  </si>
  <si>
    <t>非營業基金</t>
  </si>
  <si>
    <t>民間企業</t>
  </si>
  <si>
    <r>
      <t>中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國</t>
    </r>
  </si>
  <si>
    <r>
      <t>八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十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度</t>
    </r>
  </si>
  <si>
    <r>
      <t>經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性</t>
    </r>
  </si>
  <si>
    <r>
      <t>分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類</t>
    </r>
  </si>
  <si>
    <r>
      <t>職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別</t>
    </r>
  </si>
  <si>
    <r>
      <t xml:space="preserve">    </t>
    </r>
    <r>
      <rPr>
        <sz val="12"/>
        <rFont val="新細明體"/>
        <family val="1"/>
      </rPr>
      <t>總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</t>
    </r>
  </si>
  <si>
    <r>
      <t xml:space="preserve">02 </t>
    </r>
    <r>
      <rPr>
        <sz val="12"/>
        <rFont val="新細明體"/>
        <family val="1"/>
      </rPr>
      <t>防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衛</t>
    </r>
  </si>
  <si>
    <r>
      <t xml:space="preserve">14 </t>
    </r>
    <r>
      <rPr>
        <sz val="12"/>
        <rFont val="新細明體"/>
        <family val="1"/>
      </rPr>
      <t>其他支出</t>
    </r>
  </si>
  <si>
    <t>商品及
勞務購
買支出</t>
  </si>
  <si>
    <t>債務利息</t>
  </si>
  <si>
    <t>土地租金支出</t>
  </si>
  <si>
    <t>土地購入</t>
  </si>
  <si>
    <t>無形資
產購入</t>
  </si>
  <si>
    <t>對企業</t>
  </si>
  <si>
    <t>對政府</t>
  </si>
  <si>
    <t>對國外</t>
  </si>
  <si>
    <t>營建工程</t>
  </si>
  <si>
    <t>運輸工具</t>
  </si>
  <si>
    <t>機及設</t>
  </si>
  <si>
    <t>其</t>
  </si>
  <si>
    <t>金 出</t>
  </si>
  <si>
    <t>器他備</t>
  </si>
  <si>
    <r>
      <t>中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國</t>
    </r>
    <r>
      <rPr>
        <sz val="12"/>
        <rFont val="Times New Roman"/>
        <family val="1"/>
      </rPr>
      <t xml:space="preserve">  </t>
    </r>
  </si>
  <si>
    <r>
      <t>資</t>
    </r>
    <r>
      <rPr>
        <sz val="12"/>
        <rFont val="Times New Roman"/>
        <family val="1"/>
      </rPr>
      <t xml:space="preserve">            </t>
    </r>
    <r>
      <rPr>
        <sz val="12"/>
        <rFont val="新細明體"/>
        <family val="1"/>
      </rPr>
      <t>本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支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出</t>
    </r>
  </si>
  <si>
    <r>
      <t>資</t>
    </r>
    <r>
      <rPr>
        <sz val="12"/>
        <rFont val="Times New Roman"/>
        <family val="1"/>
      </rPr>
      <t xml:space="preserve">                                                      </t>
    </r>
    <r>
      <rPr>
        <sz val="12"/>
        <rFont val="新細明體"/>
        <family val="1"/>
      </rPr>
      <t>本</t>
    </r>
  </si>
  <si>
    <r>
      <t>支</t>
    </r>
    <r>
      <rPr>
        <sz val="12"/>
        <rFont val="Times New Roman"/>
        <family val="1"/>
      </rPr>
      <t xml:space="preserve">                                                       </t>
    </r>
    <r>
      <rPr>
        <sz val="12"/>
        <rFont val="新細明體"/>
        <family val="1"/>
      </rPr>
      <t>出</t>
    </r>
  </si>
  <si>
    <r>
      <t>總</t>
    </r>
    <r>
      <rPr>
        <sz val="12"/>
        <rFont val="Times New Roman"/>
        <family val="1"/>
      </rPr>
      <t xml:space="preserve">     </t>
    </r>
    <r>
      <rPr>
        <sz val="12"/>
        <rFont val="細明體"/>
        <family val="3"/>
      </rPr>
      <t>計</t>
    </r>
  </si>
  <si>
    <r>
      <t>受雇人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員報酬</t>
    </r>
  </si>
  <si>
    <r>
      <t>本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移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轉</t>
    </r>
  </si>
  <si>
    <r>
      <t xml:space="preserve">  地</t>
    </r>
    <r>
      <rPr>
        <sz val="12"/>
        <rFont val="Times New Roman"/>
        <family val="1"/>
      </rPr>
      <t xml:space="preserve">    </t>
    </r>
  </si>
  <si>
    <r>
      <t>對家庭及
民間非營
利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機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構</t>
    </r>
  </si>
  <si>
    <r>
      <t xml:space="preserve">      常</t>
    </r>
    <r>
      <rPr>
        <sz val="12"/>
        <rFont val="Times New Roman"/>
        <family val="1"/>
      </rPr>
      <t xml:space="preserve">    </t>
    </r>
  </si>
  <si>
    <r>
      <t>對家庭及民間
非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營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利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機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構</t>
    </r>
  </si>
  <si>
    <r>
      <t>住</t>
    </r>
    <r>
      <rPr>
        <sz val="12"/>
        <rFont val="Times New Roman"/>
        <family val="1"/>
      </rPr>
      <t xml:space="preserve">     </t>
    </r>
    <r>
      <rPr>
        <sz val="12"/>
        <rFont val="細明體"/>
        <family val="3"/>
      </rPr>
      <t>宅</t>
    </r>
  </si>
  <si>
    <r>
      <t>土地</t>
    </r>
    <r>
      <rPr>
        <sz val="12"/>
        <rFont val="細明體"/>
        <family val="3"/>
      </rPr>
      <t>改良</t>
    </r>
  </si>
  <si>
    <r>
      <t xml:space="preserve">       及</t>
    </r>
    <r>
      <rPr>
        <sz val="12"/>
        <rFont val="Times New Roman"/>
        <family val="1"/>
      </rPr>
      <t xml:space="preserve">    </t>
    </r>
  </si>
  <si>
    <r>
      <t>非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基</t>
    </r>
  </si>
  <si>
    <r>
      <t xml:space="preserve">  租</t>
    </r>
    <r>
      <rPr>
        <sz val="12"/>
        <rFont val="Times New Roman"/>
        <family val="1"/>
      </rPr>
      <t xml:space="preserve">    </t>
    </r>
  </si>
  <si>
    <r>
      <t xml:space="preserve">      支</t>
    </r>
    <r>
      <rPr>
        <sz val="12"/>
        <rFont val="Times New Roman"/>
        <family val="1"/>
      </rPr>
      <t xml:space="preserve">    </t>
    </r>
  </si>
  <si>
    <r>
      <t xml:space="preserve">  </t>
    </r>
    <r>
      <rPr>
        <sz val="12"/>
        <rFont val="新細明體"/>
        <family val="1"/>
      </rPr>
      <t>營</t>
    </r>
  </si>
  <si>
    <r>
      <t xml:space="preserve">     庭間利</t>
    </r>
    <r>
      <rPr>
        <sz val="12"/>
        <rFont val="Times New Roman"/>
        <family val="1"/>
      </rPr>
      <t xml:space="preserve">    </t>
    </r>
  </si>
  <si>
    <t>決算數不含統籌</t>
  </si>
  <si>
    <t>統籌</t>
  </si>
  <si>
    <t>決算數含統籌</t>
  </si>
  <si>
    <t>各縣市</t>
  </si>
  <si>
    <r>
      <t xml:space="preserve">    </t>
    </r>
    <r>
      <rPr>
        <b/>
        <sz val="12"/>
        <rFont val="新細明體"/>
        <family val="1"/>
      </rPr>
      <t>總</t>
    </r>
    <r>
      <rPr>
        <b/>
        <sz val="12"/>
        <rFont val="Times New Roman"/>
        <family val="1"/>
      </rPr>
      <t xml:space="preserve">                    </t>
    </r>
    <r>
      <rPr>
        <b/>
        <sz val="12"/>
        <rFont val="新細明體"/>
        <family val="1"/>
      </rPr>
      <t>計</t>
    </r>
  </si>
  <si>
    <r>
      <t xml:space="preserve">02 </t>
    </r>
    <r>
      <rPr>
        <sz val="12"/>
        <rFont val="新細明體"/>
        <family val="1"/>
      </rPr>
      <t>防</t>
    </r>
    <r>
      <rPr>
        <sz val="12"/>
        <rFont val="新細明體"/>
        <family val="1"/>
      </rPr>
      <t>衛</t>
    </r>
  </si>
  <si>
    <r>
      <t xml:space="preserve">08 </t>
    </r>
    <r>
      <rPr>
        <sz val="12"/>
        <rFont val="新細明體"/>
        <family val="1"/>
      </rPr>
      <t>娛樂、文化與宗教</t>
    </r>
  </si>
  <si>
    <r>
      <t xml:space="preserve">09 </t>
    </r>
    <r>
      <rPr>
        <sz val="12"/>
        <rFont val="新細明體"/>
        <family val="1"/>
      </rPr>
      <t>燃料與能源</t>
    </r>
  </si>
  <si>
    <r>
      <t xml:space="preserve">11 </t>
    </r>
    <r>
      <rPr>
        <sz val="12"/>
        <rFont val="新細明體"/>
        <family val="1"/>
      </rPr>
      <t>礦業、製造業與營造業</t>
    </r>
  </si>
  <si>
    <r>
      <t xml:space="preserve">13 </t>
    </r>
    <r>
      <rPr>
        <sz val="12"/>
        <rFont val="新細明體"/>
        <family val="1"/>
      </rPr>
      <t>其他經濟服務</t>
    </r>
  </si>
  <si>
    <t>對營業基金</t>
  </si>
  <si>
    <t>對非營業基金</t>
  </si>
  <si>
    <t>對民間企業</t>
  </si>
  <si>
    <r>
      <t>固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定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資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產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形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成</t>
    </r>
    <r>
      <rPr>
        <sz val="12"/>
        <rFont val="Times New Roman"/>
        <family val="1"/>
      </rPr>
      <t xml:space="preserve">       </t>
    </r>
  </si>
  <si>
    <r>
      <t>機器及</t>
    </r>
    <r>
      <rPr>
        <sz val="12"/>
        <rFont val="細明體"/>
        <family val="3"/>
      </rPr>
      <t>其</t>
    </r>
    <r>
      <rPr>
        <sz val="12"/>
        <rFont val="Times New Roman"/>
        <family val="1"/>
      </rPr>
      <t xml:space="preserve">             </t>
    </r>
    <r>
      <rPr>
        <sz val="12"/>
        <rFont val="細明體"/>
        <family val="3"/>
      </rPr>
      <t>他設備</t>
    </r>
  </si>
  <si>
    <t>資訊軟體</t>
  </si>
  <si>
    <t>資訊軟體</t>
  </si>
  <si>
    <r>
      <t xml:space="preserve">14 </t>
    </r>
    <r>
      <rPr>
        <sz val="12"/>
        <rFont val="細明體"/>
        <family val="3"/>
      </rPr>
      <t>環境保護</t>
    </r>
  </si>
  <si>
    <r>
      <t xml:space="preserve">14 </t>
    </r>
    <r>
      <rPr>
        <sz val="12"/>
        <rFont val="細明體"/>
        <family val="3"/>
      </rPr>
      <t>環境保護</t>
    </r>
  </si>
  <si>
    <r>
      <t>經</t>
    </r>
    <r>
      <rPr>
        <sz val="12"/>
        <rFont val="Times New Roman"/>
        <family val="1"/>
      </rPr>
      <t xml:space="preserve">                               </t>
    </r>
    <r>
      <rPr>
        <sz val="12"/>
        <rFont val="新細明體"/>
        <family val="1"/>
      </rPr>
      <t>常</t>
    </r>
    <r>
      <rPr>
        <sz val="12"/>
        <rFont val="Times New Roman"/>
        <family val="1"/>
      </rPr>
      <t xml:space="preserve">                             </t>
    </r>
    <r>
      <rPr>
        <sz val="12"/>
        <rFont val="新細明體"/>
        <family val="1"/>
      </rPr>
      <t>支</t>
    </r>
    <r>
      <rPr>
        <sz val="12"/>
        <rFont val="Times New Roman"/>
        <family val="1"/>
      </rPr>
      <t xml:space="preserve">                                </t>
    </r>
    <r>
      <rPr>
        <sz val="12"/>
        <rFont val="新細明體"/>
        <family val="1"/>
      </rPr>
      <t>出</t>
    </r>
  </si>
  <si>
    <r>
      <t>資</t>
    </r>
    <r>
      <rPr>
        <sz val="12"/>
        <rFont val="Times New Roman"/>
        <family val="1"/>
      </rPr>
      <t xml:space="preserve">                            </t>
    </r>
    <r>
      <rPr>
        <sz val="12"/>
        <rFont val="新細明體"/>
        <family val="1"/>
      </rPr>
      <t>本</t>
    </r>
  </si>
  <si>
    <r>
      <t>經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常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移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轉</t>
    </r>
  </si>
  <si>
    <r>
      <t>投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資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及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資</t>
    </r>
  </si>
  <si>
    <r>
      <t>資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本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移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轉</t>
    </r>
  </si>
  <si>
    <r>
      <t>固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定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資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本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形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成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毛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額</t>
    </r>
  </si>
  <si>
    <r>
      <t>地</t>
    </r>
    <r>
      <rPr>
        <sz val="12"/>
        <rFont val="Times New Roman"/>
        <family val="1"/>
      </rPr>
      <t xml:space="preserve">    </t>
    </r>
  </si>
  <si>
    <r>
      <t>常</t>
    </r>
    <r>
      <rPr>
        <sz val="12"/>
        <rFont val="Times New Roman"/>
        <family val="1"/>
      </rPr>
      <t xml:space="preserve">    </t>
    </r>
  </si>
  <si>
    <t>非營業基金</t>
  </si>
  <si>
    <t>民間企業</t>
  </si>
  <si>
    <r>
      <t>形</t>
    </r>
    <r>
      <rPr>
        <sz val="12"/>
        <rFont val="Times New Roman"/>
        <family val="1"/>
      </rPr>
      <t xml:space="preserve">   </t>
    </r>
  </si>
  <si>
    <r>
      <t>本</t>
    </r>
    <r>
      <rPr>
        <sz val="12"/>
        <rFont val="Times New Roman"/>
        <family val="1"/>
      </rPr>
      <t xml:space="preserve">    </t>
    </r>
  </si>
  <si>
    <r>
      <t>及</t>
    </r>
    <r>
      <rPr>
        <sz val="12"/>
        <rFont val="Times New Roman"/>
        <family val="1"/>
      </rPr>
      <t xml:space="preserve">    </t>
    </r>
  </si>
  <si>
    <r>
      <t>非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環</t>
    </r>
  </si>
  <si>
    <r>
      <t>租</t>
    </r>
    <r>
      <rPr>
        <sz val="12"/>
        <rFont val="Times New Roman"/>
        <family val="1"/>
      </rPr>
      <t xml:space="preserve">    </t>
    </r>
  </si>
  <si>
    <r>
      <t>支</t>
    </r>
    <r>
      <rPr>
        <sz val="12"/>
        <rFont val="Times New Roman"/>
        <family val="1"/>
      </rPr>
      <t xml:space="preserve">    </t>
    </r>
  </si>
  <si>
    <r>
      <t>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循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基</t>
    </r>
  </si>
  <si>
    <r>
      <t>資</t>
    </r>
    <r>
      <rPr>
        <sz val="12"/>
        <rFont val="Times New Roman"/>
        <family val="1"/>
      </rPr>
      <t xml:space="preserve">    </t>
    </r>
  </si>
  <si>
    <r>
      <t>業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金</t>
    </r>
  </si>
  <si>
    <r>
      <t>庭間利</t>
    </r>
    <r>
      <rPr>
        <sz val="12"/>
        <rFont val="Times New Roman"/>
        <family val="1"/>
      </rPr>
      <t xml:space="preserve">    </t>
    </r>
  </si>
  <si>
    <t>調待</t>
  </si>
  <si>
    <t>資本支出
合　　計</t>
  </si>
  <si>
    <t>非住宅
房　屋</t>
  </si>
  <si>
    <r>
      <t>1</t>
    </r>
    <r>
      <rPr>
        <sz val="12"/>
        <rFont val="Times New Roman"/>
        <family val="1"/>
      </rPr>
      <t>5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其他支出</t>
    </r>
  </si>
  <si>
    <r>
      <t>環保經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性</t>
    </r>
  </si>
  <si>
    <t>省政</t>
  </si>
  <si>
    <t>災害</t>
  </si>
  <si>
    <r>
      <t>海巡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經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性</t>
    </r>
  </si>
  <si>
    <r>
      <t xml:space="preserve">14 </t>
    </r>
    <r>
      <rPr>
        <sz val="12"/>
        <rFont val="細明體"/>
        <family val="3"/>
      </rPr>
      <t>環境保護</t>
    </r>
  </si>
  <si>
    <r>
      <t xml:space="preserve">14 </t>
    </r>
    <r>
      <rPr>
        <sz val="12"/>
        <rFont val="新細明體"/>
        <family val="1"/>
      </rPr>
      <t>其他支出</t>
    </r>
  </si>
  <si>
    <t>差額</t>
  </si>
  <si>
    <r>
      <t>中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國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八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十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八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年</t>
    </r>
  </si>
  <si>
    <r>
      <t xml:space="preserve">  </t>
    </r>
    <r>
      <rPr>
        <sz val="12"/>
        <rFont val="新細明體"/>
        <family val="1"/>
      </rPr>
      <t>下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半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及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八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十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九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度</t>
    </r>
  </si>
  <si>
    <t>補助北高</t>
  </si>
  <si>
    <t>平衡預算</t>
  </si>
  <si>
    <r>
      <t xml:space="preserve">    </t>
    </r>
    <r>
      <rPr>
        <sz val="12"/>
        <rFont val="新細明體"/>
        <family val="1"/>
      </rPr>
      <t>９８  年  度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</si>
</sst>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_);_(* \(#,##0\);_(* &quot;...&quot;_);_(@_)"/>
    <numFmt numFmtId="185" formatCode="#,##0_ "/>
    <numFmt numFmtId="186" formatCode="#,##0.00_ "/>
    <numFmt numFmtId="187" formatCode="#,##0.00_ ;[Red]\-#,##0.00\ 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vertAlign val="subscript"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6"/>
      <name val="Times New Roman"/>
      <family val="1"/>
    </font>
    <font>
      <b/>
      <u val="single"/>
      <sz val="20"/>
      <name val="Times New Roman"/>
      <family val="1"/>
    </font>
    <font>
      <b/>
      <u val="single"/>
      <sz val="16"/>
      <name val="新細明體"/>
      <family val="1"/>
    </font>
    <font>
      <b/>
      <u val="single"/>
      <sz val="20"/>
      <name val="新細明體"/>
      <family val="1"/>
    </font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2"/>
      <name val="細明體"/>
      <family val="3"/>
    </font>
    <font>
      <sz val="9"/>
      <name val="細明體"/>
      <family val="3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新細明體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84" fontId="4" fillId="0" borderId="1" xfId="0" applyNumberFormat="1" applyFont="1" applyBorder="1" applyAlignment="1">
      <alignment/>
    </xf>
    <xf numFmtId="184" fontId="4" fillId="0" borderId="0" xfId="0" applyNumberFormat="1" applyFont="1" applyAlignment="1">
      <alignment/>
    </xf>
    <xf numFmtId="184" fontId="4" fillId="0" borderId="0" xfId="0" applyNumberFormat="1" applyFon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 quotePrefix="1">
      <alignment horizontal="left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Border="1" applyAlignment="1">
      <alignment horizontal="centerContinuous" vertical="center"/>
    </xf>
    <xf numFmtId="0" fontId="11" fillId="0" borderId="6" xfId="0" applyFont="1" applyBorder="1" applyAlignment="1">
      <alignment horizontal="centerContinuous"/>
    </xf>
    <xf numFmtId="0" fontId="11" fillId="0" borderId="1" xfId="0" applyFont="1" applyBorder="1" applyAlignment="1">
      <alignment horizontal="right" vertical="top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Continuous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3" fontId="14" fillId="0" borderId="0" xfId="0" applyNumberFormat="1" applyFont="1" applyAlignment="1">
      <alignment/>
    </xf>
    <xf numFmtId="0" fontId="11" fillId="0" borderId="7" xfId="0" applyFont="1" applyBorder="1" applyAlignment="1">
      <alignment horizontal="right"/>
    </xf>
    <xf numFmtId="0" fontId="11" fillId="0" borderId="8" xfId="0" applyFon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/>
    </xf>
    <xf numFmtId="183" fontId="14" fillId="0" borderId="0" xfId="15" applyFont="1" applyAlignment="1">
      <alignment/>
    </xf>
    <xf numFmtId="185" fontId="0" fillId="0" borderId="0" xfId="0" applyNumberFormat="1" applyAlignment="1">
      <alignment/>
    </xf>
    <xf numFmtId="3" fontId="17" fillId="0" borderId="0" xfId="0" applyNumberFormat="1" applyFont="1" applyAlignment="1">
      <alignment/>
    </xf>
    <xf numFmtId="0" fontId="15" fillId="0" borderId="1" xfId="0" applyFont="1" applyBorder="1" applyAlignment="1">
      <alignment/>
    </xf>
    <xf numFmtId="183" fontId="4" fillId="0" borderId="0" xfId="0" applyNumberFormat="1" applyFont="1" applyAlignment="1">
      <alignment/>
    </xf>
    <xf numFmtId="183" fontId="14" fillId="0" borderId="0" xfId="0" applyNumberFormat="1" applyFont="1" applyAlignment="1">
      <alignment/>
    </xf>
    <xf numFmtId="183" fontId="4" fillId="0" borderId="0" xfId="15" applyFont="1" applyAlignment="1">
      <alignment/>
    </xf>
    <xf numFmtId="0" fontId="18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 quotePrefix="1">
      <alignment horizontal="left"/>
    </xf>
    <xf numFmtId="0" fontId="0" fillId="0" borderId="3" xfId="0" applyFont="1" applyBorder="1" applyAlignment="1">
      <alignment/>
    </xf>
    <xf numFmtId="0" fontId="0" fillId="0" borderId="10" xfId="0" applyFont="1" applyBorder="1" applyAlignment="1">
      <alignment/>
    </xf>
    <xf numFmtId="183" fontId="0" fillId="0" borderId="0" xfId="0" applyNumberFormat="1" applyAlignment="1">
      <alignment/>
    </xf>
    <xf numFmtId="0" fontId="1" fillId="0" borderId="1" xfId="0" applyFont="1" applyBorder="1" applyAlignment="1">
      <alignment/>
    </xf>
    <xf numFmtId="184" fontId="20" fillId="0" borderId="1" xfId="0" applyNumberFormat="1" applyFont="1" applyBorder="1" applyAlignment="1">
      <alignment/>
    </xf>
    <xf numFmtId="184" fontId="20" fillId="0" borderId="0" xfId="0" applyNumberFormat="1" applyFont="1" applyBorder="1" applyAlignment="1">
      <alignment/>
    </xf>
    <xf numFmtId="184" fontId="20" fillId="0" borderId="12" xfId="0" applyNumberFormat="1" applyFont="1" applyBorder="1" applyAlignment="1">
      <alignment/>
    </xf>
    <xf numFmtId="184" fontId="4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/>
    </xf>
    <xf numFmtId="183" fontId="16" fillId="0" borderId="0" xfId="15" applyFont="1" applyAlignment="1">
      <alignment/>
    </xf>
    <xf numFmtId="185" fontId="0" fillId="0" borderId="0" xfId="0" applyNumberFormat="1" applyFont="1" applyAlignment="1">
      <alignment/>
    </xf>
    <xf numFmtId="0" fontId="11" fillId="0" borderId="2" xfId="0" applyFont="1" applyBorder="1" applyAlignment="1">
      <alignment horizontal="centerContinuous" vertical="center"/>
    </xf>
    <xf numFmtId="0" fontId="11" fillId="0" borderId="2" xfId="0" applyFont="1" applyBorder="1" applyAlignment="1" quotePrefix="1">
      <alignment horizontal="center" vertical="center"/>
    </xf>
    <xf numFmtId="185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184" fontId="21" fillId="0" borderId="1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1" fillId="0" borderId="20" xfId="0" applyFont="1" applyBorder="1" applyAlignment="1" quotePrefix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81100"/>
          <a:ext cx="1781175" cy="1495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19050</xdr:colOff>
      <xdr:row>3</xdr:row>
      <xdr:rowOff>9525</xdr:rowOff>
    </xdr:from>
    <xdr:to>
      <xdr:col>15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13125450" y="1181100"/>
          <a:ext cx="1781175" cy="1495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2420600" y="0"/>
          <a:ext cx="258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&#27770;&#31639;&#36039;&#26009;&#27284;\98&#27770;&#31639;\98&#27770;&#31639;&#32317;&#259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3&#27770;&#31639;&#36039;&#26009;&#27284;\98&#27770;&#31639;\98&#32771;&#35430;&#20027;&#31649;&#32887;&#3302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3&#27770;&#31639;&#36039;&#26009;&#27284;\98&#27770;&#31639;\98&#34892;&#25919;&#20027;&#31649;&#32887;&#330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本年data"/>
      <sheetName val="歲入"/>
      <sheetName val="歲出(經)"/>
      <sheetName val="歲出 (資)"/>
      <sheetName val="歲出全"/>
      <sheetName val="用途"/>
      <sheetName val="以前年度(歲入)"/>
      <sheetName val="以前年度(歲出)"/>
      <sheetName val="災害保留"/>
      <sheetName val="歲出(經) (刪前)"/>
      <sheetName val="歲出 (資) (刪前)"/>
      <sheetName val="歲出全 (刪前)"/>
      <sheetName val="Sheet1"/>
      <sheetName val="政事代碼對照"/>
      <sheetName val="歲入全"/>
      <sheetName val="歲出(經) (2)"/>
      <sheetName val="歲出 (資) (2)"/>
      <sheetName val="歲出全 (2)"/>
    </sheetNames>
    <sheetDataSet>
      <sheetData sheetId="4">
        <row r="3">
          <cell r="N3">
            <v>11541427025</v>
          </cell>
        </row>
        <row r="10">
          <cell r="N10">
            <v>42298784753</v>
          </cell>
        </row>
        <row r="41">
          <cell r="N41">
            <v>3328388815</v>
          </cell>
        </row>
        <row r="44">
          <cell r="N44">
            <v>17039995019</v>
          </cell>
        </row>
        <row r="83">
          <cell r="N83">
            <v>20542683876</v>
          </cell>
        </row>
        <row r="92">
          <cell r="N92">
            <v>2000957053</v>
          </cell>
        </row>
        <row r="98">
          <cell r="N98">
            <v>172386456748</v>
          </cell>
        </row>
        <row r="110">
          <cell r="N110">
            <v>27716846135</v>
          </cell>
        </row>
        <row r="115">
          <cell r="N115">
            <v>301458405682</v>
          </cell>
        </row>
        <row r="119">
          <cell r="N119">
            <v>172131945151</v>
          </cell>
        </row>
        <row r="134">
          <cell r="N134">
            <v>166930041721</v>
          </cell>
        </row>
        <row r="146">
          <cell r="N146">
            <v>26612916487</v>
          </cell>
        </row>
        <row r="183">
          <cell r="N183">
            <v>69285325808</v>
          </cell>
        </row>
        <row r="196">
          <cell r="N196">
            <v>89595768810</v>
          </cell>
        </row>
        <row r="204">
          <cell r="N204">
            <v>139234636</v>
          </cell>
        </row>
        <row r="207">
          <cell r="N207">
            <v>1297387369</v>
          </cell>
        </row>
        <row r="210">
          <cell r="N210">
            <v>132500159151</v>
          </cell>
        </row>
        <row r="213">
          <cell r="N213">
            <v>39785410311</v>
          </cell>
        </row>
        <row r="219">
          <cell r="N219">
            <v>3399762027</v>
          </cell>
        </row>
        <row r="225">
          <cell r="N225">
            <v>104995144125</v>
          </cell>
        </row>
        <row r="250">
          <cell r="N250">
            <v>59667443163</v>
          </cell>
        </row>
        <row r="256">
          <cell r="N256">
            <v>54333453079.35</v>
          </cell>
        </row>
        <row r="264">
          <cell r="N264">
            <v>7658924884</v>
          </cell>
        </row>
        <row r="269">
          <cell r="N269">
            <v>12286455448</v>
          </cell>
        </row>
        <row r="275">
          <cell r="N275">
            <v>176556431671</v>
          </cell>
        </row>
        <row r="283">
          <cell r="N283">
            <v>0</v>
          </cell>
        </row>
      </sheetData>
      <sheetData sheetId="5">
        <row r="4">
          <cell r="J4">
            <v>2628514756</v>
          </cell>
        </row>
        <row r="5">
          <cell r="J5">
            <v>14391974365</v>
          </cell>
        </row>
        <row r="6">
          <cell r="J6">
            <v>263388331</v>
          </cell>
        </row>
        <row r="7">
          <cell r="J7">
            <v>816397199</v>
          </cell>
        </row>
        <row r="8">
          <cell r="J8">
            <v>85179246</v>
          </cell>
        </row>
        <row r="9">
          <cell r="J9">
            <v>84294257</v>
          </cell>
        </row>
        <row r="10">
          <cell r="J10">
            <v>38298346189</v>
          </cell>
        </row>
        <row r="11">
          <cell r="J11">
            <v>510832038</v>
          </cell>
        </row>
        <row r="12">
          <cell r="J12">
            <v>24284457330</v>
          </cell>
        </row>
        <row r="13">
          <cell r="J13">
            <v>1449783672</v>
          </cell>
        </row>
        <row r="14">
          <cell r="J14">
            <v>25927061020</v>
          </cell>
        </row>
        <row r="15">
          <cell r="J15">
            <v>1210257490</v>
          </cell>
        </row>
        <row r="16">
          <cell r="J16">
            <v>29502951648</v>
          </cell>
        </row>
        <row r="17">
          <cell r="J17">
            <v>78026652742</v>
          </cell>
        </row>
        <row r="18">
          <cell r="J18">
            <v>3003715</v>
          </cell>
        </row>
        <row r="19">
          <cell r="J19">
            <v>37069142</v>
          </cell>
        </row>
        <row r="20">
          <cell r="J20">
            <v>318615773</v>
          </cell>
        </row>
        <row r="21">
          <cell r="J21">
            <v>33149312640</v>
          </cell>
        </row>
        <row r="22">
          <cell r="J22">
            <v>884192188</v>
          </cell>
        </row>
        <row r="23">
          <cell r="J23">
            <v>16367380648</v>
          </cell>
        </row>
        <row r="24">
          <cell r="J24">
            <v>58302917</v>
          </cell>
        </row>
        <row r="25">
          <cell r="J25">
            <v>1952305930</v>
          </cell>
        </row>
        <row r="26">
          <cell r="J26">
            <v>3619478101</v>
          </cell>
        </row>
        <row r="27">
          <cell r="J27">
            <v>1743857649</v>
          </cell>
        </row>
        <row r="28">
          <cell r="J28">
            <v>31470476112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主管"/>
      <sheetName val="1"/>
      <sheetName val="2"/>
      <sheetName val="3"/>
      <sheetName val="4"/>
      <sheetName val="5"/>
      <sheetName val="6"/>
      <sheetName val="7"/>
    </sheetNames>
    <sheetDataSet>
      <sheetData sheetId="0">
        <row r="10">
          <cell r="K10">
            <v>0</v>
          </cell>
          <cell r="L10">
            <v>0</v>
          </cell>
          <cell r="M10">
            <v>0</v>
          </cell>
        </row>
        <row r="11">
          <cell r="B11">
            <v>1531775</v>
          </cell>
          <cell r="C11">
            <v>415202</v>
          </cell>
          <cell r="D11">
            <v>0</v>
          </cell>
          <cell r="E11">
            <v>0</v>
          </cell>
          <cell r="F11">
            <v>0</v>
          </cell>
          <cell r="G11">
            <v>3163</v>
          </cell>
          <cell r="H11">
            <v>86</v>
          </cell>
          <cell r="I11">
            <v>217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4497</v>
          </cell>
          <cell r="X11">
            <v>26373</v>
          </cell>
          <cell r="Y11">
            <v>48998</v>
          </cell>
          <cell r="Z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B16">
            <v>263947</v>
          </cell>
          <cell r="C16">
            <v>24986</v>
          </cell>
          <cell r="D16">
            <v>0</v>
          </cell>
          <cell r="E16">
            <v>0</v>
          </cell>
          <cell r="F16">
            <v>22000</v>
          </cell>
          <cell r="G16">
            <v>5638450</v>
          </cell>
          <cell r="H16">
            <v>214360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1874</v>
          </cell>
          <cell r="Y16">
            <v>3437</v>
          </cell>
          <cell r="Z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B25">
            <v>16565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主管"/>
      <sheetName val="行政"/>
      <sheetName val="主計"/>
      <sheetName val="電子"/>
      <sheetName val="新聞"/>
      <sheetName val="人事"/>
      <sheetName val="人力"/>
      <sheetName val="住福"/>
      <sheetName val="研習"/>
      <sheetName val="故宮"/>
      <sheetName val="經建"/>
      <sheetName val="金管"/>
      <sheetName val="銀行"/>
      <sheetName val="證券"/>
      <sheetName val="保險"/>
      <sheetName val="檢查"/>
      <sheetName val="中選"/>
      <sheetName val="文化"/>
      <sheetName val="青輔"/>
      <sheetName val="研究"/>
      <sheetName val="檔案"/>
      <sheetName val="通訊"/>
      <sheetName val="大陸"/>
      <sheetName val="公平"/>
      <sheetName val="消保"/>
      <sheetName val="公共"/>
      <sheetName val="原住"/>
      <sheetName val="園區"/>
      <sheetName val="体育"/>
      <sheetName val="客委"/>
      <sheetName val="25"/>
      <sheetName val="26"/>
    </sheetNames>
    <sheetDataSet>
      <sheetData sheetId="0">
        <row r="11">
          <cell r="B11">
            <v>3907984</v>
          </cell>
          <cell r="C11">
            <v>2590294</v>
          </cell>
          <cell r="D11">
            <v>0</v>
          </cell>
          <cell r="E11">
            <v>0</v>
          </cell>
          <cell r="F11">
            <v>9018</v>
          </cell>
          <cell r="G11">
            <v>776731</v>
          </cell>
          <cell r="H11">
            <v>801273</v>
          </cell>
          <cell r="I11">
            <v>4034</v>
          </cell>
          <cell r="K11">
            <v>0</v>
          </cell>
          <cell r="L11">
            <v>500000</v>
          </cell>
          <cell r="M11">
            <v>0</v>
          </cell>
          <cell r="N11">
            <v>0</v>
          </cell>
          <cell r="O11">
            <v>73217</v>
          </cell>
          <cell r="P11">
            <v>1381646</v>
          </cell>
          <cell r="Q11">
            <v>0</v>
          </cell>
          <cell r="R11">
            <v>0</v>
          </cell>
          <cell r="S11">
            <v>5</v>
          </cell>
          <cell r="T11">
            <v>0</v>
          </cell>
          <cell r="U11">
            <v>21763</v>
          </cell>
          <cell r="V11">
            <v>59457</v>
          </cell>
          <cell r="W11">
            <v>2906</v>
          </cell>
          <cell r="X11">
            <v>784394</v>
          </cell>
          <cell r="Y11">
            <v>408562</v>
          </cell>
          <cell r="Z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B14">
            <v>145856</v>
          </cell>
          <cell r="C14">
            <v>817969</v>
          </cell>
          <cell r="D14">
            <v>0</v>
          </cell>
          <cell r="E14">
            <v>0</v>
          </cell>
          <cell r="F14">
            <v>31510</v>
          </cell>
          <cell r="G14">
            <v>214818</v>
          </cell>
          <cell r="H14">
            <v>284554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1200</v>
          </cell>
          <cell r="O14">
            <v>57353</v>
          </cell>
          <cell r="P14">
            <v>18859</v>
          </cell>
          <cell r="Q14">
            <v>0</v>
          </cell>
          <cell r="R14">
            <v>0</v>
          </cell>
          <cell r="S14">
            <v>9860</v>
          </cell>
          <cell r="T14">
            <v>0</v>
          </cell>
          <cell r="U14">
            <v>0</v>
          </cell>
          <cell r="V14">
            <v>0</v>
          </cell>
          <cell r="W14">
            <v>636</v>
          </cell>
          <cell r="X14">
            <v>6749</v>
          </cell>
          <cell r="Y14">
            <v>29664</v>
          </cell>
          <cell r="Z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B16">
            <v>765307</v>
          </cell>
          <cell r="C16">
            <v>17039</v>
          </cell>
          <cell r="D16">
            <v>0</v>
          </cell>
          <cell r="E16">
            <v>0</v>
          </cell>
          <cell r="F16">
            <v>322</v>
          </cell>
          <cell r="G16">
            <v>1605087</v>
          </cell>
          <cell r="H16">
            <v>106744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295</v>
          </cell>
          <cell r="P16">
            <v>5018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B18">
            <v>2486773</v>
          </cell>
          <cell r="C18">
            <v>3940448</v>
          </cell>
          <cell r="D18">
            <v>0</v>
          </cell>
          <cell r="E18">
            <v>5368</v>
          </cell>
          <cell r="F18">
            <v>46626</v>
          </cell>
          <cell r="G18">
            <v>1523631</v>
          </cell>
          <cell r="H18">
            <v>3767901</v>
          </cell>
          <cell r="I18">
            <v>6754</v>
          </cell>
          <cell r="K18">
            <v>0</v>
          </cell>
          <cell r="L18">
            <v>0</v>
          </cell>
          <cell r="M18">
            <v>0</v>
          </cell>
          <cell r="N18">
            <v>36960</v>
          </cell>
          <cell r="O18">
            <v>196017</v>
          </cell>
          <cell r="P18">
            <v>2925796</v>
          </cell>
          <cell r="Q18">
            <v>0</v>
          </cell>
          <cell r="R18">
            <v>1177730</v>
          </cell>
          <cell r="S18">
            <v>2181</v>
          </cell>
          <cell r="T18">
            <v>0</v>
          </cell>
          <cell r="U18">
            <v>733306</v>
          </cell>
          <cell r="V18">
            <v>2115565</v>
          </cell>
          <cell r="W18">
            <v>2409</v>
          </cell>
          <cell r="X18">
            <v>99854</v>
          </cell>
          <cell r="Y18">
            <v>514714</v>
          </cell>
          <cell r="Z18">
            <v>4566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B22">
            <v>585235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B23">
            <v>1611956</v>
          </cell>
          <cell r="C23">
            <v>471634</v>
          </cell>
          <cell r="D23">
            <v>0</v>
          </cell>
          <cell r="E23">
            <v>0</v>
          </cell>
          <cell r="F23">
            <v>0</v>
          </cell>
          <cell r="G23">
            <v>6321</v>
          </cell>
          <cell r="H23">
            <v>6746</v>
          </cell>
          <cell r="I23">
            <v>2881</v>
          </cell>
          <cell r="K23">
            <v>0</v>
          </cell>
          <cell r="L23">
            <v>3200000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1212</v>
          </cell>
          <cell r="X23">
            <v>3057</v>
          </cell>
          <cell r="Y23">
            <v>17023</v>
          </cell>
          <cell r="Z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B25">
            <v>103943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0"/>
  <sheetViews>
    <sheetView showGridLines="0" tabSelected="1" zoomScale="75" zoomScaleNormal="75" workbookViewId="0" topLeftCell="A1">
      <pane xSplit="1" ySplit="10" topLeftCell="B11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Q3" sqref="Q3"/>
    </sheetView>
  </sheetViews>
  <sheetFormatPr defaultColWidth="9.00390625" defaultRowHeight="15.75"/>
  <cols>
    <col min="1" max="1" width="23.50390625" style="0" customWidth="1"/>
    <col min="2" max="2" width="10.625" style="0" customWidth="1"/>
    <col min="3" max="3" width="11.625" style="0" bestFit="1" customWidth="1"/>
    <col min="4" max="4" width="10.625" style="0" customWidth="1"/>
    <col min="5" max="5" width="8.50390625" style="0" customWidth="1"/>
    <col min="6" max="6" width="10.75390625" style="0" customWidth="1"/>
    <col min="7" max="7" width="11.625" style="0" customWidth="1"/>
    <col min="8" max="8" width="11.25390625" style="0" customWidth="1"/>
    <col min="9" max="9" width="10.50390625" style="0" customWidth="1"/>
    <col min="10" max="10" width="13.125" style="0" customWidth="1"/>
    <col min="11" max="11" width="11.25390625" style="0" customWidth="1"/>
    <col min="12" max="12" width="12.75390625" style="0" customWidth="1"/>
    <col min="13" max="13" width="13.125" style="0" customWidth="1"/>
    <col min="14" max="14" width="12.75390625" style="0" customWidth="1"/>
    <col min="15" max="15" width="23.50390625" style="0" customWidth="1"/>
    <col min="16" max="16" width="13.75390625" style="0" customWidth="1"/>
    <col min="17" max="17" width="12.625" style="0" customWidth="1"/>
    <col min="18" max="18" width="10.375" style="0" customWidth="1"/>
    <col min="19" max="19" width="11.875" style="0" customWidth="1"/>
    <col min="20" max="20" width="12.50390625" style="0" customWidth="1"/>
    <col min="21" max="21" width="7.50390625" style="0" customWidth="1"/>
    <col min="22" max="23" width="9.75390625" style="0" customWidth="1"/>
    <col min="25" max="25" width="8.75390625" style="0" customWidth="1"/>
    <col min="26" max="26" width="9.625" style="0" customWidth="1"/>
    <col min="27" max="27" width="9.50390625" style="0" customWidth="1"/>
    <col min="28" max="28" width="10.875" style="0" customWidth="1"/>
    <col min="29" max="29" width="11.625" style="0" customWidth="1"/>
    <col min="35" max="35" width="11.875" style="0" customWidth="1"/>
    <col min="36" max="36" width="11.625" style="0" customWidth="1"/>
    <col min="37" max="37" width="11.125" style="0" customWidth="1"/>
  </cols>
  <sheetData>
    <row r="1" spans="5:21" ht="22.5" customHeight="1">
      <c r="E1" s="2"/>
      <c r="G1" s="15" t="s">
        <v>106</v>
      </c>
      <c r="H1" s="16" t="s">
        <v>107</v>
      </c>
      <c r="T1" s="15" t="s">
        <v>110</v>
      </c>
      <c r="U1" s="16" t="s">
        <v>111</v>
      </c>
    </row>
    <row r="2" spans="4:21" ht="37.5" customHeight="1">
      <c r="D2" s="1"/>
      <c r="E2" s="1"/>
      <c r="G2" s="17" t="s">
        <v>108</v>
      </c>
      <c r="H2" s="18" t="s">
        <v>109</v>
      </c>
      <c r="T2" s="17" t="s">
        <v>108</v>
      </c>
      <c r="U2" s="18" t="s">
        <v>109</v>
      </c>
    </row>
    <row r="3" spans="7:29" ht="32.25" customHeight="1" thickBot="1">
      <c r="G3" s="19" t="s">
        <v>148</v>
      </c>
      <c r="H3" s="45" t="s">
        <v>221</v>
      </c>
      <c r="N3" s="20" t="s">
        <v>0</v>
      </c>
      <c r="T3" s="19" t="s">
        <v>148</v>
      </c>
      <c r="U3" s="45" t="s">
        <v>221</v>
      </c>
      <c r="AC3" s="20" t="s">
        <v>0</v>
      </c>
    </row>
    <row r="4" spans="1:29" ht="30" customHeight="1">
      <c r="A4" s="37" t="s">
        <v>128</v>
      </c>
      <c r="B4" s="38" t="s">
        <v>2</v>
      </c>
      <c r="C4" s="39"/>
      <c r="D4" s="39"/>
      <c r="E4" s="39"/>
      <c r="F4" s="39"/>
      <c r="G4" s="39"/>
      <c r="H4" s="39"/>
      <c r="I4" s="39"/>
      <c r="J4" s="40"/>
      <c r="K4" s="103" t="s">
        <v>149</v>
      </c>
      <c r="L4" s="104"/>
      <c r="M4" s="104"/>
      <c r="N4" s="104"/>
      <c r="O4" s="37" t="s">
        <v>128</v>
      </c>
      <c r="P4" s="103" t="s">
        <v>150</v>
      </c>
      <c r="Q4" s="105"/>
      <c r="R4" s="105"/>
      <c r="S4" s="105"/>
      <c r="T4" s="105"/>
      <c r="U4" s="104" t="s">
        <v>151</v>
      </c>
      <c r="V4" s="105"/>
      <c r="W4" s="105"/>
      <c r="X4" s="105"/>
      <c r="Y4" s="105"/>
      <c r="Z4" s="105"/>
      <c r="AA4" s="105"/>
      <c r="AB4" s="106"/>
      <c r="AC4" s="100" t="s">
        <v>152</v>
      </c>
    </row>
    <row r="5" spans="1:29" s="9" customFormat="1" ht="25.5" customHeight="1">
      <c r="A5" s="24" t="s">
        <v>129</v>
      </c>
      <c r="B5" s="94" t="s">
        <v>153</v>
      </c>
      <c r="C5" s="94" t="s">
        <v>134</v>
      </c>
      <c r="D5" s="94" t="s">
        <v>135</v>
      </c>
      <c r="E5" s="94" t="s">
        <v>136</v>
      </c>
      <c r="F5" s="88" t="s">
        <v>8</v>
      </c>
      <c r="G5" s="6"/>
      <c r="H5" s="6"/>
      <c r="I5" s="7"/>
      <c r="J5" s="94" t="s">
        <v>123</v>
      </c>
      <c r="K5" s="88" t="s">
        <v>9</v>
      </c>
      <c r="L5" s="6"/>
      <c r="M5" s="7"/>
      <c r="N5" s="89" t="s">
        <v>10</v>
      </c>
      <c r="O5" s="24" t="s">
        <v>129</v>
      </c>
      <c r="P5" s="88" t="s">
        <v>154</v>
      </c>
      <c r="Q5" s="6"/>
      <c r="R5" s="7"/>
      <c r="S5" s="94" t="s">
        <v>137</v>
      </c>
      <c r="T5" s="94" t="s">
        <v>138</v>
      </c>
      <c r="U5" s="88" t="s">
        <v>180</v>
      </c>
      <c r="V5" s="6"/>
      <c r="W5" s="6"/>
      <c r="X5" s="6"/>
      <c r="Y5" s="6"/>
      <c r="Z5" s="6"/>
      <c r="AA5" s="8"/>
      <c r="AB5" s="94" t="s">
        <v>207</v>
      </c>
      <c r="AC5" s="101"/>
    </row>
    <row r="6" spans="1:30" ht="15" customHeight="1">
      <c r="A6" s="55"/>
      <c r="B6" s="95"/>
      <c r="C6" s="95" t="s">
        <v>15</v>
      </c>
      <c r="D6" s="95" t="s">
        <v>16</v>
      </c>
      <c r="E6" s="95" t="s">
        <v>155</v>
      </c>
      <c r="F6" s="97" t="s">
        <v>139</v>
      </c>
      <c r="G6" s="97" t="s">
        <v>156</v>
      </c>
      <c r="H6" s="97" t="s">
        <v>140</v>
      </c>
      <c r="I6" s="97" t="s">
        <v>141</v>
      </c>
      <c r="J6" s="95" t="s">
        <v>157</v>
      </c>
      <c r="K6" s="97" t="s">
        <v>177</v>
      </c>
      <c r="L6" s="97" t="s">
        <v>178</v>
      </c>
      <c r="M6" s="97" t="s">
        <v>179</v>
      </c>
      <c r="N6" s="97" t="s">
        <v>139</v>
      </c>
      <c r="O6" s="55"/>
      <c r="P6" s="97" t="s">
        <v>158</v>
      </c>
      <c r="Q6" s="97" t="s">
        <v>140</v>
      </c>
      <c r="R6" s="97" t="s">
        <v>141</v>
      </c>
      <c r="S6" s="95"/>
      <c r="T6" s="95"/>
      <c r="U6" s="97" t="s">
        <v>159</v>
      </c>
      <c r="V6" s="97" t="s">
        <v>208</v>
      </c>
      <c r="W6" s="97" t="s">
        <v>142</v>
      </c>
      <c r="X6" s="97" t="s">
        <v>143</v>
      </c>
      <c r="Y6" s="97" t="s">
        <v>182</v>
      </c>
      <c r="Z6" s="97" t="s">
        <v>181</v>
      </c>
      <c r="AA6" s="97" t="s">
        <v>160</v>
      </c>
      <c r="AB6" s="95"/>
      <c r="AC6" s="101"/>
      <c r="AD6" t="s">
        <v>17</v>
      </c>
    </row>
    <row r="7" spans="1:30" ht="15" customHeight="1">
      <c r="A7" s="55"/>
      <c r="B7" s="95"/>
      <c r="C7" s="95" t="s">
        <v>161</v>
      </c>
      <c r="D7" s="95"/>
      <c r="E7" s="95" t="s">
        <v>17</v>
      </c>
      <c r="F7" s="98" t="s">
        <v>20</v>
      </c>
      <c r="G7" s="98" t="s">
        <v>21</v>
      </c>
      <c r="H7" s="98" t="s">
        <v>20</v>
      </c>
      <c r="I7" s="98" t="s">
        <v>20</v>
      </c>
      <c r="J7" s="95"/>
      <c r="K7" s="98" t="s">
        <v>22</v>
      </c>
      <c r="L7" s="98" t="s">
        <v>162</v>
      </c>
      <c r="M7" s="98" t="s">
        <v>23</v>
      </c>
      <c r="N7" s="98" t="s">
        <v>20</v>
      </c>
      <c r="O7" s="55"/>
      <c r="P7" s="98" t="s">
        <v>21</v>
      </c>
      <c r="Q7" s="98" t="s">
        <v>20</v>
      </c>
      <c r="R7" s="98" t="s">
        <v>20</v>
      </c>
      <c r="S7" s="95"/>
      <c r="T7" s="95"/>
      <c r="U7" s="98" t="s">
        <v>24</v>
      </c>
      <c r="V7" s="98" t="s">
        <v>25</v>
      </c>
      <c r="W7" s="98" t="s">
        <v>26</v>
      </c>
      <c r="X7" s="98" t="s">
        <v>27</v>
      </c>
      <c r="Y7" s="98"/>
      <c r="Z7" s="98" t="s">
        <v>144</v>
      </c>
      <c r="AA7" s="98"/>
      <c r="AB7" s="95"/>
      <c r="AC7" s="101"/>
      <c r="AD7" t="s">
        <v>17</v>
      </c>
    </row>
    <row r="8" spans="1:30" ht="16.5">
      <c r="A8" s="29" t="s">
        <v>130</v>
      </c>
      <c r="B8" s="95"/>
      <c r="C8" s="95" t="s">
        <v>31</v>
      </c>
      <c r="D8" s="95" t="s">
        <v>32</v>
      </c>
      <c r="E8" s="95" t="s">
        <v>163</v>
      </c>
      <c r="F8" s="98" t="s">
        <v>33</v>
      </c>
      <c r="G8" s="98" t="s">
        <v>34</v>
      </c>
      <c r="H8" s="98" t="s">
        <v>35</v>
      </c>
      <c r="I8" s="98" t="s">
        <v>36</v>
      </c>
      <c r="J8" s="95" t="s">
        <v>164</v>
      </c>
      <c r="K8" s="98"/>
      <c r="L8" s="98" t="s">
        <v>165</v>
      </c>
      <c r="M8" s="98"/>
      <c r="N8" s="98" t="s">
        <v>33</v>
      </c>
      <c r="O8" s="29" t="s">
        <v>130</v>
      </c>
      <c r="P8" s="98" t="s">
        <v>34</v>
      </c>
      <c r="Q8" s="98" t="s">
        <v>35</v>
      </c>
      <c r="R8" s="98" t="s">
        <v>36</v>
      </c>
      <c r="S8" s="95"/>
      <c r="T8" s="95"/>
      <c r="U8" s="98"/>
      <c r="V8" s="98" t="s">
        <v>24</v>
      </c>
      <c r="W8" s="98"/>
      <c r="X8" s="98"/>
      <c r="Y8" s="98"/>
      <c r="Z8" s="98" t="s">
        <v>145</v>
      </c>
      <c r="AA8" s="98"/>
      <c r="AB8" s="95"/>
      <c r="AC8" s="101"/>
      <c r="AD8" t="s">
        <v>17</v>
      </c>
    </row>
    <row r="9" spans="1:29" ht="16.5">
      <c r="A9" s="31" t="s">
        <v>129</v>
      </c>
      <c r="B9" s="96"/>
      <c r="C9" s="96" t="s">
        <v>41</v>
      </c>
      <c r="D9" s="96" t="s">
        <v>42</v>
      </c>
      <c r="E9" s="96" t="s">
        <v>146</v>
      </c>
      <c r="F9" s="99" t="s">
        <v>44</v>
      </c>
      <c r="G9" s="99" t="s">
        <v>45</v>
      </c>
      <c r="H9" s="99" t="s">
        <v>46</v>
      </c>
      <c r="I9" s="99" t="s">
        <v>47</v>
      </c>
      <c r="J9" s="96" t="s">
        <v>48</v>
      </c>
      <c r="K9" s="99" t="s">
        <v>49</v>
      </c>
      <c r="L9" s="99" t="s">
        <v>50</v>
      </c>
      <c r="M9" s="99" t="s">
        <v>51</v>
      </c>
      <c r="N9" s="99" t="s">
        <v>44</v>
      </c>
      <c r="O9" s="31" t="s">
        <v>129</v>
      </c>
      <c r="P9" s="99" t="s">
        <v>166</v>
      </c>
      <c r="Q9" s="99" t="s">
        <v>46</v>
      </c>
      <c r="R9" s="99" t="s">
        <v>47</v>
      </c>
      <c r="S9" s="96"/>
      <c r="T9" s="96"/>
      <c r="U9" s="99" t="s">
        <v>54</v>
      </c>
      <c r="V9" s="99" t="s">
        <v>54</v>
      </c>
      <c r="W9" s="99" t="s">
        <v>55</v>
      </c>
      <c r="X9" s="99" t="s">
        <v>56</v>
      </c>
      <c r="Y9" s="99"/>
      <c r="Z9" s="99" t="s">
        <v>147</v>
      </c>
      <c r="AA9" s="99"/>
      <c r="AB9" s="96"/>
      <c r="AC9" s="102"/>
    </row>
    <row r="10" spans="1:30" ht="30" customHeight="1">
      <c r="A10" s="60" t="s">
        <v>171</v>
      </c>
      <c r="B10" s="61">
        <f aca="true" t="shared" si="0" ref="B10:N10">SUM(B11:B25)</f>
        <v>414456566</v>
      </c>
      <c r="C10" s="61">
        <f t="shared" si="0"/>
        <v>229789623</v>
      </c>
      <c r="D10" s="61">
        <f t="shared" si="0"/>
        <v>116244028</v>
      </c>
      <c r="E10" s="61">
        <f t="shared" si="0"/>
        <v>323046</v>
      </c>
      <c r="F10" s="61">
        <f t="shared" si="0"/>
        <v>19435689</v>
      </c>
      <c r="G10" s="61">
        <f t="shared" si="0"/>
        <v>313227854</v>
      </c>
      <c r="H10" s="63">
        <f t="shared" si="0"/>
        <v>303652270</v>
      </c>
      <c r="I10" s="61">
        <f t="shared" si="0"/>
        <v>11276588</v>
      </c>
      <c r="J10" s="61">
        <f t="shared" si="0"/>
        <v>1408405664</v>
      </c>
      <c r="K10" s="61">
        <f t="shared" si="0"/>
        <v>2889840</v>
      </c>
      <c r="L10" s="61">
        <f t="shared" si="0"/>
        <v>46864974</v>
      </c>
      <c r="M10" s="61">
        <f t="shared" si="0"/>
        <v>0</v>
      </c>
      <c r="N10" s="61">
        <f t="shared" si="0"/>
        <v>6164471</v>
      </c>
      <c r="O10" s="60" t="s">
        <v>171</v>
      </c>
      <c r="P10" s="61">
        <f aca="true" t="shared" si="1" ref="P10:AC10">SUM(P11:P25)</f>
        <v>22425510</v>
      </c>
      <c r="Q10" s="61">
        <f t="shared" si="1"/>
        <v>109802011</v>
      </c>
      <c r="R10" s="61">
        <f t="shared" si="1"/>
        <v>21164</v>
      </c>
      <c r="S10" s="61">
        <f t="shared" si="1"/>
        <v>8224502</v>
      </c>
      <c r="T10" s="61">
        <f t="shared" si="1"/>
        <v>19807</v>
      </c>
      <c r="U10" s="63">
        <f t="shared" si="1"/>
        <v>972</v>
      </c>
      <c r="V10" s="61">
        <f t="shared" si="1"/>
        <v>12841072</v>
      </c>
      <c r="W10" s="61">
        <f t="shared" si="1"/>
        <v>60856980</v>
      </c>
      <c r="X10" s="61">
        <f t="shared" si="1"/>
        <v>1696019</v>
      </c>
      <c r="Y10" s="61">
        <f t="shared" si="1"/>
        <v>3733955</v>
      </c>
      <c r="Z10" s="61">
        <f t="shared" si="1"/>
        <v>20841676</v>
      </c>
      <c r="AA10" s="61">
        <f t="shared" si="1"/>
        <v>10701132</v>
      </c>
      <c r="AB10" s="61">
        <f t="shared" si="1"/>
        <v>307084085</v>
      </c>
      <c r="AC10" s="62">
        <f t="shared" si="1"/>
        <v>1715489749</v>
      </c>
      <c r="AD10" t="s">
        <v>17</v>
      </c>
    </row>
    <row r="11" spans="1:29" ht="30" customHeight="1">
      <c r="A11" s="55" t="s">
        <v>60</v>
      </c>
      <c r="B11" s="3">
        <f>SUM(1!B11+2!B11+3!B11+4!B11+5!B11+6!B11+7!B11+8!B11+9!B11+'10'!B11+'11'!B11+'12'!B11+'13'!B11+'14'!B11+'15'!B11+'16'!B11+'17'!B11+'18'!B11+'19'!B11+'20'!B11+'21'!B11+'22'!B11+'23'!B11+'24'!B11+'25'!B11+'26'!B11+'27'!B11)</f>
        <v>46239617</v>
      </c>
      <c r="C11" s="3">
        <f>SUM(1!C11+2!C11+3!C11+4!C11+5!C11+6!C11+7!C11+8!C11+9!C11+'10'!C11+'11'!C11+'12'!C11+'13'!C11+'14'!C11+'15'!C11+'16'!C11+'17'!C11+'18'!C11+'19'!C11+'20'!C11+'21'!C11+'22'!C11+'23'!C11+'24'!C11+'25'!C11+'26'!C11+'27'!C11)</f>
        <v>27943400</v>
      </c>
      <c r="D11" s="3">
        <f>SUM(1!D11+2!D11+3!D11+4!D11+5!D11+6!D11+7!D11+8!D11+9!D11+'10'!D11+'11'!D11+'12'!D11+'13'!D11+'14'!D11+'15'!D11+'16'!D11+'17'!D11+'18'!D11+'19'!D11+'20'!D11+'21'!D11+'22'!D11+'23'!D11+'24'!D11+'25'!D11+'26'!D11+'27'!D11)</f>
        <v>0</v>
      </c>
      <c r="E11" s="3">
        <f>SUM(1!E11+2!E11+3!E11+4!E11+5!E11+6!E11+7!E11+8!E11+9!E11+'10'!E11+'11'!E11+'12'!E11+'13'!E11+'14'!E11+'15'!E11+'16'!E11+'17'!E11+'18'!E11+'19'!E11+'20'!E11+'21'!E11+'22'!E11+'23'!E11+'24'!E11+'25'!E11+'26'!E11+'27'!E11)</f>
        <v>93519</v>
      </c>
      <c r="F11" s="3">
        <f>SUM(1!F11+2!F11+3!F11+4!F11+5!F11+6!F11+7!F11+8!F11+9!F11+'10'!F11+'11'!F11+'12'!F11+'13'!F11+'14'!F11+'15'!F11+'16'!F11+'17'!F11+'18'!F11+'19'!F11+'20'!F11+'21'!F11+'22'!F11+'23'!F11+'24'!F11+'25'!F11+'26'!F11+'27'!F11)</f>
        <v>140281</v>
      </c>
      <c r="G11" s="3">
        <f>SUM(1!G11+2!G11+3!G11+4!G11+5!G11+6!G11+7!G11+8!G11+9!G11+'10'!G11+'11'!G11+'12'!G11+'13'!G11+'14'!G11+'15'!G11+'16'!G11+'17'!G11+'18'!G11+'19'!G11+'20'!G11+'21'!G11+'22'!G11+'23'!G11+'24'!G11+'25'!G11+'26'!G11+'27'!G11)</f>
        <v>6129375</v>
      </c>
      <c r="H11" s="64">
        <f>SUM(1!H11+2!H11+3!H11+4!H11+5!H11+6!H11+7!H11+8!H11+9!H11+'10'!H11+'11'!H11+'12'!H11+'13'!H11+'14'!H11+'15'!H11+'16'!H11+'17'!H11+'18'!H11+'19'!H11+'20'!H11+'21'!H11+'22'!H11+'23'!H11+'24'!H11+'25'!H11+'26'!H11+'27'!H11)</f>
        <v>1894350</v>
      </c>
      <c r="I11" s="3">
        <f>SUM(1!I11+2!I11+3!I11+4!I11+5!I11+6!I11+7!I11+8!I11+9!I11+'10'!I11+'11'!I11+'12'!I11+'13'!I11+'14'!I11+'15'!I11+'16'!I11+'17'!I11+'18'!I11+'19'!I11+'20'!I11+'21'!I11+'22'!I11+'23'!I11+'24'!I11+'25'!I11+'26'!I11+'27'!I11)</f>
        <v>10971125</v>
      </c>
      <c r="J11" s="3">
        <f aca="true" t="shared" si="2" ref="J11:J25">SUM(B11:I11)</f>
        <v>93411667</v>
      </c>
      <c r="K11" s="3">
        <f>SUM(1!K11+2!K11+3!K11+4!K11+5!K11+6!K11+7!K11+8!K11+9!K11+'10'!K11+'11'!K11+'12'!K11+'13'!K11+'14'!K11+'15'!K11+'16'!K11+'17'!K11+'18'!K11+'19'!K11+'20'!K11+'21'!K11+'22'!K11+'23'!K11+'24'!K11+'25'!K11+'26'!K11+'27'!K11)</f>
        <v>0</v>
      </c>
      <c r="L11" s="3">
        <f>SUM(1!L11+2!L11+3!L11+4!L11+5!L11+6!L11+7!L11+8!L11+9!L11+'10'!L11+'11'!L11+'12'!L11+'13'!L11+'14'!L11+'15'!L11+'16'!L11+'17'!L11+'18'!L11+'19'!L11+'20'!L11+'21'!L11+'22'!L11+'23'!L11+'24'!L11+'25'!L11+'26'!L11+'27'!L11)</f>
        <v>29208273</v>
      </c>
      <c r="M11" s="3">
        <f>SUM(1!M11+2!M11+3!M11+4!M11+5!M11+6!M11+7!M11+8!M11+9!M11+'10'!M11+'11'!M11+'12'!M11+'13'!M11+'14'!M11+'15'!M11+'16'!M11+'17'!M11+'18'!M11+'19'!M11+'20'!M11+'21'!M11+'22'!M11+'23'!M11+'24'!M11+'25'!M11+'26'!M11+'27'!M11)</f>
        <v>0</v>
      </c>
      <c r="N11" s="3">
        <f>SUM(1!N11+2!N11+3!N11+4!N11+5!N11+6!N11+7!N11+8!N11+9!N11+'10'!N11+'11'!N11+'12'!N11+'13'!N11+'14'!N11+'15'!N11+'16'!N11+'17'!N11+'18'!N11+'19'!N11+'20'!N11+'21'!N11+'22'!N11+'23'!N11+'24'!N11+'25'!N11+'26'!N11+'27'!N11)</f>
        <v>0</v>
      </c>
      <c r="O11" s="55" t="s">
        <v>60</v>
      </c>
      <c r="P11" s="3">
        <f>SUM(1!O11+2!O11+3!O11+4!O11+5!O11+6!O11+7!O11+8!O11+9!O11+'10'!O11+'11'!O11+'12'!O11+'13'!O11+'14'!O11+'15'!O11+'16'!O11+'17'!O11+'18'!O11+'19'!O11+'20'!O11+'21'!O11+'22'!O11+'23'!O11+'24'!O11+'25'!O11+'26'!O11+'27'!O11)</f>
        <v>2354865</v>
      </c>
      <c r="Q11" s="3">
        <f>SUM(1!P11+2!P11+3!P11+4!P11+5!P11+6!P11+7!P11+8!P11+9!P11+'10'!P11+'11'!P11+'12'!P11+'13'!P11+'14'!P11+'15'!P11+'16'!P11+'17'!P11+'18'!P11+'19'!P11+'20'!P11+'21'!P11+'22'!P11+'23'!P11+'24'!P11+'25'!P11+'26'!P11+'27'!P11)</f>
        <v>2355521</v>
      </c>
      <c r="R11" s="3">
        <f>SUM(1!Q11+2!Q11+3!Q11+4!Q11+5!Q11+6!Q11+7!Q11+8!Q11+9!Q11+'10'!Q11+'11'!Q11+'12'!Q11+'13'!Q11+'14'!Q11+'15'!Q11+'16'!Q11+'17'!Q11+'18'!Q11+'19'!Q11+'20'!Q11+'21'!Q11+'22'!Q11+'23'!Q11+'24'!Q11+'25'!Q11+'26'!Q11+'27'!Q11)</f>
        <v>5119</v>
      </c>
      <c r="S11" s="3">
        <f>SUM(1!R11+2!R11+3!R11+4!R11+5!R11+6!R11+7!R11+8!R11+9!R11+'10'!R11+'11'!R11+'12'!R11+'13'!R11+'14'!R11+'15'!R11+'16'!R11+'17'!R11+'18'!R11+'19'!R11+'20'!R11+'21'!R11+'22'!R11+'23'!R11+'24'!R11+'25'!R11+'26'!R11+'27'!R11)</f>
        <v>11971</v>
      </c>
      <c r="T11" s="3">
        <f>SUM(1!S11+2!S11+3!S11+4!S11+5!S11+6!S11+7!S11+8!S11+9!S11+'10'!S11+'11'!S11+'12'!S11+'13'!S11+'14'!S11+'15'!S11+'16'!S11+'17'!S11+'18'!S11+'19'!S11+'20'!S11+'21'!S11+'22'!S11+'23'!S11+'24'!S11+'25'!S11+'26'!S11+'27'!S11)</f>
        <v>5</v>
      </c>
      <c r="U11" s="64">
        <f>SUM(1!T11+2!T11+3!T11+4!T11+5!T11+6!T11+7!T11+8!T11+9!T11+'10'!T11+'11'!T11+'12'!T11+'13'!T11+'14'!T11+'15'!T11+'16'!T11+'17'!T11+'18'!T11+'19'!T11+'20'!T11+'21'!T11+'22'!T11+'23'!T11+'24'!T11+'25'!T11+'26'!T11+'27'!T11)</f>
        <v>873</v>
      </c>
      <c r="V11" s="3">
        <f>SUM(1!U11+2!U11+3!U11+4!U11+5!U11+6!U11+7!U11+8!U11+9!U11+'10'!U11+'11'!U11+'12'!U11+'13'!U11+'14'!U11+'15'!U11+'16'!U11+'17'!U11+'18'!U11+'19'!U11+'20'!U11+'21'!U11+'22'!U11+'23'!U11+'24'!U11+'25'!U11+'26'!U11+'27'!U11)</f>
        <v>1536052</v>
      </c>
      <c r="W11" s="3">
        <f>SUM(1!V11+2!V11+3!V11+4!V11+5!V11+6!V11+7!V11+8!V11+9!V11+'10'!V11+'11'!V11+'12'!V11+'13'!V11+'14'!V11+'15'!V11+'16'!V11+'17'!V11+'18'!V11+'19'!V11+'20'!V11+'21'!V11+'22'!V11+'23'!V11+'24'!V11+'25'!V11+'26'!V11+'27'!V11)</f>
        <v>104677</v>
      </c>
      <c r="X11" s="3">
        <f>SUM(1!W11+2!W11+3!W11+4!W11+5!W11+6!W11+7!W11+8!W11+9!W11+'10'!W11+'11'!W11+'12'!W11+'13'!W11+'14'!W11+'15'!W11+'16'!W11+'17'!W11+'18'!W11+'19'!W11+'20'!W11+'21'!W11+'22'!W11+'23'!W11+'24'!W11+'25'!W11+'26'!W11+'27'!W11)</f>
        <v>143717</v>
      </c>
      <c r="Y11" s="3">
        <f>SUM(1!X11+2!X11+3!X11+4!X11+5!X11+6!X11+7!X11+8!X11+9!X11+'10'!X11+'11'!X11+'12'!X11+'13'!X11+'14'!X11+'15'!X11+'16'!X11+'17'!X11+'18'!X11+'19'!X11+'20'!X11+'21'!X11+'22'!X11+'23'!X11+'24'!X11+'25'!X11+'26'!X11+'27'!X11)</f>
        <v>1450194</v>
      </c>
      <c r="Z11" s="3">
        <f>SUM(1!Y11+2!Y11+3!Y11+4!Y11+5!Y11+6!Y11+7!Y11+8!Y11+9!Y11+'10'!Y11+'11'!Y11+'12'!Y11+'13'!Y11+'14'!Y11+'15'!Y11+'16'!Y11+'17'!Y11+'18'!Y11+'19'!Y11+'20'!Y11+'21'!Y11+'22'!Y11+'23'!Y11+'24'!Y11+'25'!Y11+'26'!Y11+'27'!Y11)</f>
        <v>4594725</v>
      </c>
      <c r="AA11" s="3">
        <f>SUM(1!Z11+2!Z11+3!Z11+4!Z11+5!Z11+6!Z11+7!Z11+8!Z11+9!Z11+'10'!Z11+'11'!Z11+'12'!Z11+'13'!Z11+'14'!Z11+'15'!Z11+'16'!Z11+'17'!Z11+'18'!Z11+'19'!Z11+'20'!Z11+'21'!Z11+'22'!Z11+'23'!Z11+'24'!Z11+'25'!Z11+'26'!Z11+'27'!Z11)</f>
        <v>0</v>
      </c>
      <c r="AB11" s="3">
        <f aca="true" t="shared" si="3" ref="AB11:AB25">SUM(K11:AA11)</f>
        <v>41765992</v>
      </c>
      <c r="AC11" s="4">
        <f aca="true" t="shared" si="4" ref="AC11:AC25">SUM(J11+AB11)</f>
        <v>135177659</v>
      </c>
    </row>
    <row r="12" spans="1:29" ht="30" customHeight="1">
      <c r="A12" s="56" t="s">
        <v>172</v>
      </c>
      <c r="B12" s="3">
        <f>SUM(1!B12+2!B12+3!B12+4!B12+5!B12+6!B12+7!B12+8!B12+9!B12+'10'!B12+'11'!B12+'12'!B12+'13'!B12+'14'!B12+'15'!B12+'16'!B12+'17'!B12+'18'!B12+'19'!B12+'20'!B12+'21'!B12+'22'!B12+'23'!B12+'24'!B12+'25'!B12+'26'!B12+'27'!B12)</f>
        <v>133590731</v>
      </c>
      <c r="C12" s="3">
        <f>SUM(1!C12+2!C12+3!C12+4!C12+5!C12+6!C12+7!C12+8!C12+9!C12+'10'!C12+'11'!C12+'12'!C12+'13'!C12+'14'!C12+'15'!C12+'16'!C12+'17'!C12+'18'!C12+'19'!C12+'20'!C12+'21'!C12+'22'!C12+'23'!C12+'24'!C12+'25'!C12+'26'!C12+'27'!C12)</f>
        <v>142821299</v>
      </c>
      <c r="D12" s="3">
        <f>SUM(1!D12+2!D12+3!D12+4!D12+5!D12+6!D12+7!D12+8!D12+9!D12+'10'!D12+'11'!D12+'12'!D12+'13'!D12+'14'!D12+'15'!D12+'16'!D12+'17'!D12+'18'!D12+'19'!D12+'20'!D12+'21'!D12+'22'!D12+'23'!D12+'24'!D12+'25'!D12+'26'!D12+'27'!D12)</f>
        <v>0</v>
      </c>
      <c r="E12" s="3">
        <f>SUM(1!E12+2!E12+3!E12+4!E12+5!E12+6!E12+7!E12+8!E12+9!E12+'10'!E12+'11'!E12+'12'!E12+'13'!E12+'14'!E12+'15'!E12+'16'!E12+'17'!E12+'18'!E12+'19'!E12+'20'!E12+'21'!E12+'22'!E12+'23'!E12+'24'!E12+'25'!E12+'26'!E12+'27'!E12)</f>
        <v>59241</v>
      </c>
      <c r="F12" s="3">
        <f>SUM(1!F12+2!F12+3!F12+4!F12+5!F12+6!F12+7!F12+8!F12+9!F12+'10'!F12+'11'!F12+'12'!F12+'13'!F12+'14'!F12+'15'!F12+'16'!F12+'17'!F12+'18'!F12+'19'!F12+'20'!F12+'21'!F12+'22'!F12+'23'!F12+'24'!F12+'25'!F12+'26'!F12+'27'!F12)</f>
        <v>0</v>
      </c>
      <c r="G12" s="3">
        <f>SUM(1!G12+2!G12+3!G12+4!G12+5!G12+6!G12+7!G12+8!G12+9!G12+'10'!G12+'11'!G12+'12'!G12+'13'!G12+'14'!G12+'15'!G12+'16'!G12+'17'!G12+'18'!G12+'19'!G12+'20'!G12+'21'!G12+'22'!G12+'23'!G12+'24'!G12+'25'!G12+'26'!G12+'27'!G12)</f>
        <v>743718</v>
      </c>
      <c r="H12" s="64">
        <f>SUM(1!H12+2!H12+3!H12+4!H12+5!H12+6!H12+7!H12+8!H12+9!H12+'10'!H12+'11'!H12+'12'!H12+'13'!H12+'14'!H12+'15'!H12+'16'!H12+'17'!H12+'18'!H12+'19'!H12+'20'!H12+'21'!H12+'22'!H12+'23'!H12+'24'!H12+'25'!H12+'26'!H12+'27'!H12)</f>
        <v>639039</v>
      </c>
      <c r="I12" s="3">
        <f>SUM(1!I12+2!I12+3!I12+4!I12+5!I12+6!I12+7!I12+8!I12+9!I12+'10'!I12+'11'!I12+'12'!I12+'13'!I12+'14'!I12+'15'!I12+'16'!I12+'17'!I12+'18'!I12+'19'!I12+'20'!I12+'21'!I12+'22'!I12+'23'!I12+'24'!I12+'25'!I12+'26'!I12+'27'!I12)</f>
        <v>320</v>
      </c>
      <c r="J12" s="3">
        <f t="shared" si="2"/>
        <v>277854348</v>
      </c>
      <c r="K12" s="3">
        <f>SUM(1!K12+2!K12+3!K12+4!K12+5!K12+6!K12+7!K12+8!K12+9!K12+'10'!K12+'11'!K12+'12'!K12+'13'!K12+'14'!K12+'15'!K12+'16'!K12+'17'!K12+'18'!K12+'19'!K12+'20'!K12+'21'!K12+'22'!K12+'23'!K12+'24'!K12+'25'!K12+'26'!K12+'27'!K12)</f>
        <v>0</v>
      </c>
      <c r="L12" s="3">
        <f>SUM(1!L12+2!L12+3!L12+4!L12+5!L12+6!L12+7!L12+8!L12+9!L12+'10'!L12+'11'!L12+'12'!L12+'13'!L12+'14'!L12+'15'!L12+'16'!L12+'17'!L12+'18'!L12+'19'!L12+'20'!L12+'21'!L12+'22'!L12+'23'!L12+'24'!L12+'25'!L12+'26'!L12+'27'!L12)</f>
        <v>0</v>
      </c>
      <c r="M12" s="3">
        <f>SUM(1!M12+2!M12+3!M12+4!M12+5!M12+6!M12+7!M12+8!M12+9!M12+'10'!M12+'11'!M12+'12'!M12+'13'!M12+'14'!M12+'15'!M12+'16'!M12+'17'!M12+'18'!M12+'19'!M12+'20'!M12+'21'!M12+'22'!M12+'23'!M12+'24'!M12+'25'!M12+'26'!M12+'27'!M12)</f>
        <v>0</v>
      </c>
      <c r="N12" s="3">
        <f>SUM(1!N12+2!N12+3!N12+4!N12+5!N12+6!N12+7!N12+8!N12+9!N12+'10'!N12+'11'!N12+'12'!N12+'13'!N12+'14'!N12+'15'!N12+'16'!N12+'17'!N12+'18'!N12+'19'!N12+'20'!N12+'21'!N12+'22'!N12+'23'!N12+'24'!N12+'25'!N12+'26'!N12+'27'!N12)</f>
        <v>0</v>
      </c>
      <c r="O12" s="56" t="s">
        <v>172</v>
      </c>
      <c r="P12" s="3">
        <f>SUM(1!O12+2!O12+3!O12+4!O12+5!O12+6!O12+7!O12+8!O12+9!O12+'10'!O12+'11'!O12+'12'!O12+'13'!O12+'14'!O12+'15'!O12+'16'!O12+'17'!O12+'18'!O12+'19'!O12+'20'!O12+'21'!O12+'22'!O12+'23'!O12+'24'!O12+'25'!O12+'26'!O12+'27'!O12)</f>
        <v>8512999</v>
      </c>
      <c r="Q12" s="3">
        <f>SUM(1!P12+2!P12+3!P12+4!P12+5!P12+6!P12+7!P12+8!P12+9!P12+'10'!P12+'11'!P12+'12'!P12+'13'!P12+'14'!P12+'15'!P12+'16'!P12+'17'!P12+'18'!P12+'19'!P12+'20'!P12+'21'!P12+'22'!P12+'23'!P12+'24'!P12+'25'!P12+'26'!P12+'27'!P12)</f>
        <v>58985</v>
      </c>
      <c r="R12" s="3">
        <f>SUM(1!Q12+2!Q12+3!Q12+4!Q12+5!Q12+6!Q12+7!Q12+8!Q12+9!Q12+'10'!Q12+'11'!Q12+'12'!Q12+'13'!Q12+'14'!Q12+'15'!Q12+'16'!Q12+'17'!Q12+'18'!Q12+'19'!Q12+'20'!Q12+'21'!Q12+'22'!Q12+'23'!Q12+'24'!Q12+'25'!Q12+'26'!Q12+'27'!Q12)</f>
        <v>0</v>
      </c>
      <c r="S12" s="3">
        <f>SUM(1!R12+2!R12+3!R12+4!R12+5!R12+6!R12+7!R12+8!R12+9!R12+'10'!R12+'11'!R12+'12'!R12+'13'!R12+'14'!R12+'15'!R12+'16'!R12+'17'!R12+'18'!R12+'19'!R12+'20'!R12+'21'!R12+'22'!R12+'23'!R12+'24'!R12+'25'!R12+'26'!R12+'27'!R12)</f>
        <v>1688640</v>
      </c>
      <c r="T12" s="3">
        <f>SUM(1!S12+2!S12+3!S12+4!S12+5!S12+6!S12+7!S12+8!S12+9!S12+'10'!S12+'11'!S12+'12'!S12+'13'!S12+'14'!S12+'15'!S12+'16'!S12+'17'!S12+'18'!S12+'19'!S12+'20'!S12+'21'!S12+'22'!S12+'23'!S12+'24'!S12+'25'!S12+'26'!S12+'27'!S12)</f>
        <v>0</v>
      </c>
      <c r="U12" s="64">
        <f>SUM(1!T12+2!T12+3!T12+4!T12+5!T12+6!T12+7!T12+8!T12+9!T12+'10'!T12+'11'!T12+'12'!T12+'13'!T12+'14'!T12+'15'!T12+'16'!T12+'17'!T12+'18'!T12+'19'!T12+'20'!T12+'21'!T12+'22'!T12+'23'!T12+'24'!T12+'25'!T12+'26'!T12+'27'!T12)</f>
        <v>99</v>
      </c>
      <c r="V12" s="3">
        <f>SUM(1!U12+2!U12+3!U12+4!U12+5!U12+6!U12+7!U12+8!U12+9!U12+'10'!U12+'11'!U12+'12'!U12+'13'!U12+'14'!U12+'15'!U12+'16'!U12+'17'!U12+'18'!U12+'19'!U12+'20'!U12+'21'!U12+'22'!U12+'23'!U12+'24'!U12+'25'!U12+'26'!U12+'27'!U12)</f>
        <v>3277309</v>
      </c>
      <c r="W12" s="3">
        <f>SUM(1!V12+2!V12+3!V12+4!V12+5!V12+6!V12+7!V12+8!V12+9!V12+'10'!V12+'11'!V12+'12'!V12+'13'!V12+'14'!V12+'15'!V12+'16'!V12+'17'!V12+'18'!V12+'19'!V12+'20'!V12+'21'!V12+'22'!V12+'23'!V12+'24'!V12+'25'!V12+'26'!V12+'27'!V12)</f>
        <v>2200362</v>
      </c>
      <c r="X12" s="3">
        <f>SUM(1!W12+2!W12+3!W12+4!W12+5!W12+6!W12+7!W12+8!W12+9!W12+'10'!W12+'11'!W12+'12'!W12+'13'!W12+'14'!W12+'15'!W12+'16'!W12+'17'!W12+'18'!W12+'19'!W12+'20'!W12+'21'!W12+'22'!W12+'23'!W12+'24'!W12+'25'!W12+'26'!W12+'27'!W12)</f>
        <v>79498</v>
      </c>
      <c r="Y12" s="3">
        <f>SUM(1!X12+2!X12+3!X12+4!X12+5!X12+6!X12+7!X12+8!X12+9!X12+'10'!X12+'11'!X12+'12'!X12+'13'!X12+'14'!X12+'15'!X12+'16'!X12+'17'!X12+'18'!X12+'19'!X12+'20'!X12+'21'!X12+'22'!X12+'23'!X12+'24'!X12+'25'!X12+'26'!X12+'27'!X12)</f>
        <v>494734</v>
      </c>
      <c r="Z12" s="3">
        <f>SUM(1!Y12+2!Y12+3!Y12+4!Y12+5!Y12+6!Y12+7!Y12+8!Y12+9!Y12+'10'!Y12+'11'!Y12+'12'!Y12+'13'!Y12+'14'!Y12+'15'!Y12+'16'!Y12+'17'!Y12+'18'!Y12+'19'!Y12+'20'!Y12+'21'!Y12+'22'!Y12+'23'!Y12+'24'!Y12+'25'!Y12+'26'!Y12+'27'!Y12)</f>
        <v>7251727</v>
      </c>
      <c r="AA12" s="3">
        <f>SUM(1!Z12+2!Z12+3!Z12+4!Z12+5!Z12+6!Z12+7!Z12+8!Z12+9!Z12+'10'!Z12+'11'!Z12+'12'!Z12+'13'!Z12+'14'!Z12+'15'!Z12+'16'!Z12+'17'!Z12+'18'!Z12+'19'!Z12+'20'!Z12+'21'!Z12+'22'!Z12+'23'!Z12+'24'!Z12+'25'!Z12+'26'!Z12+'27'!Z12)</f>
        <v>101686</v>
      </c>
      <c r="AB12" s="3">
        <f t="shared" si="3"/>
        <v>23666039</v>
      </c>
      <c r="AC12" s="4">
        <f t="shared" si="4"/>
        <v>301520387</v>
      </c>
    </row>
    <row r="13" spans="1:29" ht="30" customHeight="1">
      <c r="A13" s="55" t="s">
        <v>62</v>
      </c>
      <c r="B13" s="3">
        <f>SUM(1!B13+2!B13+3!B13+4!B13+5!B13+6!B13+7!B13+8!B13+9!B13+'10'!B13+'11'!B13+'12'!B13+'13'!B13+'14'!B13+'15'!B13+'16'!B13+'17'!B13+'18'!B13+'19'!B13+'20'!B13+'21'!B13+'22'!B13+'23'!B13+'24'!B13+'25'!B13+'26'!B13+'27'!B13)</f>
        <v>60254235</v>
      </c>
      <c r="C13" s="3">
        <f>SUM(1!C13+2!C13+3!C13+4!C13+5!C13+6!C13+7!C13+8!C13+9!C13+'10'!C13+'11'!C13+'12'!C13+'13'!C13+'14'!C13+'15'!C13+'16'!C13+'17'!C13+'18'!C13+'19'!C13+'20'!C13+'21'!C13+'22'!C13+'23'!C13+'24'!C13+'25'!C13+'26'!C13+'27'!C13)</f>
        <v>12612967</v>
      </c>
      <c r="D13" s="3">
        <f>SUM(1!D13+2!D13+3!D13+4!D13+5!D13+6!D13+7!D13+8!D13+9!D13+'10'!D13+'11'!D13+'12'!D13+'13'!D13+'14'!D13+'15'!D13+'16'!D13+'17'!D13+'18'!D13+'19'!D13+'20'!D13+'21'!D13+'22'!D13+'23'!D13+'24'!D13+'25'!D13+'26'!D13+'27'!D13)</f>
        <v>0</v>
      </c>
      <c r="E13" s="3">
        <f>SUM(1!E13+2!E13+3!E13+4!E13+5!E13+6!E13+7!E13+8!E13+9!E13+'10'!E13+'11'!E13+'12'!E13+'13'!E13+'14'!E13+'15'!E13+'16'!E13+'17'!E13+'18'!E13+'19'!E13+'20'!E13+'21'!E13+'22'!E13+'23'!E13+'24'!E13+'25'!E13+'26'!E13+'27'!E13)</f>
        <v>107729</v>
      </c>
      <c r="F13" s="3">
        <f>SUM(1!F13+2!F13+3!F13+4!F13+5!F13+6!F13+7!F13+8!F13+9!F13+'10'!F13+'11'!F13+'12'!F13+'13'!F13+'14'!F13+'15'!F13+'16'!F13+'17'!F13+'18'!F13+'19'!F13+'20'!F13+'21'!F13+'22'!F13+'23'!F13+'24'!F13+'25'!F13+'26'!F13+'27'!F13)</f>
        <v>0</v>
      </c>
      <c r="G13" s="3">
        <f>SUM(1!G13+2!G13+3!G13+4!G13+5!G13+6!G13+7!G13+8!G13+9!G13+'10'!G13+'11'!G13+'12'!G13+'13'!G13+'14'!G13+'15'!G13+'16'!G13+'17'!G13+'18'!G13+'19'!G13+'20'!G13+'21'!G13+'22'!G13+'23'!G13+'24'!G13+'25'!G13+'26'!G13+'27'!G13)</f>
        <v>384757</v>
      </c>
      <c r="H13" s="64">
        <f>SUM(1!H13+2!H13+3!H13+4!H13+5!H13+6!H13+7!H13+8!H13+9!H13+'10'!H13+'11'!H13+'12'!H13+'13'!H13+'14'!H13+'15'!H13+'16'!H13+'17'!H13+'18'!H13+'19'!H13+'20'!H13+'21'!H13+'22'!H13+'23'!H13+'24'!H13+'25'!H13+'26'!H13+'27'!H13)</f>
        <v>525609</v>
      </c>
      <c r="I13" s="3">
        <f>SUM(1!I13+2!I13+3!I13+4!I13+5!I13+6!I13+7!I13+8!I13+9!I13+'10'!I13+'11'!I13+'12'!I13+'13'!I13+'14'!I13+'15'!I13+'16'!I13+'17'!I13+'18'!I13+'19'!I13+'20'!I13+'21'!I13+'22'!I13+'23'!I13+'24'!I13+'25'!I13+'26'!I13+'27'!I13)</f>
        <v>1665</v>
      </c>
      <c r="J13" s="3">
        <f t="shared" si="2"/>
        <v>73886962</v>
      </c>
      <c r="K13" s="3">
        <f>SUM(1!K13+2!K13+3!K13+4!K13+5!K13+6!K13+7!K13+8!K13+9!K13+'10'!K13+'11'!K13+'12'!K13+'13'!K13+'14'!K13+'15'!K13+'16'!K13+'17'!K13+'18'!K13+'19'!K13+'20'!K13+'21'!K13+'22'!K13+'23'!K13+'24'!K13+'25'!K13+'26'!K13+'27'!K13)</f>
        <v>0</v>
      </c>
      <c r="L13" s="3">
        <f>SUM(1!L13+2!L13+3!L13+4!L13+5!L13+6!L13+7!L13+8!L13+9!L13+'10'!L13+'11'!L13+'12'!L13+'13'!L13+'14'!L13+'15'!L13+'16'!L13+'17'!L13+'18'!L13+'19'!L13+'20'!L13+'21'!L13+'22'!L13+'23'!L13+'24'!L13+'25'!L13+'26'!L13+'27'!L13)</f>
        <v>0</v>
      </c>
      <c r="M13" s="3">
        <f>SUM(1!M13+2!M13+3!M13+4!M13+5!M13+6!M13+7!M13+8!M13+9!M13+'10'!M13+'11'!M13+'12'!M13+'13'!M13+'14'!M13+'15'!M13+'16'!M13+'17'!M13+'18'!M13+'19'!M13+'20'!M13+'21'!M13+'22'!M13+'23'!M13+'24'!M13+'25'!M13+'26'!M13+'27'!M13)</f>
        <v>0</v>
      </c>
      <c r="N13" s="3">
        <f>SUM(1!N13+2!N13+3!N13+4!N13+5!N13+6!N13+7!N13+8!N13+9!N13+'10'!N13+'11'!N13+'12'!N13+'13'!N13+'14'!N13+'15'!N13+'16'!N13+'17'!N13+'18'!N13+'19'!N13+'20'!N13+'21'!N13+'22'!N13+'23'!N13+'24'!N13+'25'!N13+'26'!N13+'27'!N13)</f>
        <v>0</v>
      </c>
      <c r="O13" s="55" t="s">
        <v>62</v>
      </c>
      <c r="P13" s="3">
        <f>SUM(1!O13+2!O13+3!O13+4!O13+5!O13+6!O13+7!O13+8!O13+9!O13+'10'!O13+'11'!O13+'12'!O13+'13'!O13+'14'!O13+'15'!O13+'16'!O13+'17'!O13+'18'!O13+'19'!O13+'20'!O13+'21'!O13+'22'!O13+'23'!O13+'24'!O13+'25'!O13+'26'!O13+'27'!O13)</f>
        <v>45107</v>
      </c>
      <c r="Q13" s="3">
        <f>SUM(1!P13+2!P13+3!P13+4!P13+5!P13+6!P13+7!P13+8!P13+9!P13+'10'!P13+'11'!P13+'12'!P13+'13'!P13+'14'!P13+'15'!P13+'16'!P13+'17'!P13+'18'!P13+'19'!P13+'20'!P13+'21'!P13+'22'!P13+'23'!P13+'24'!P13+'25'!P13+'26'!P13+'27'!P13)</f>
        <v>184031</v>
      </c>
      <c r="R13" s="3">
        <f>SUM(1!Q13+2!Q13+3!Q13+4!Q13+5!Q13+6!Q13+7!Q13+8!Q13+9!Q13+'10'!Q13+'11'!Q13+'12'!Q13+'13'!Q13+'14'!Q13+'15'!Q13+'16'!Q13+'17'!Q13+'18'!Q13+'19'!Q13+'20'!Q13+'21'!Q13+'22'!Q13+'23'!Q13+'24'!Q13+'25'!Q13+'26'!Q13+'27'!Q13)</f>
        <v>0</v>
      </c>
      <c r="S13" s="3">
        <f>SUM(1!R13+2!R13+3!R13+4!R13+5!R13+6!R13+7!R13+8!R13+9!R13+'10'!R13+'11'!R13+'12'!R13+'13'!R13+'14'!R13+'15'!R13+'16'!R13+'17'!R13+'18'!R13+'19'!R13+'20'!R13+'21'!R13+'22'!R13+'23'!R13+'24'!R13+'25'!R13+'26'!R13+'27'!R13)</f>
        <v>181468</v>
      </c>
      <c r="T13" s="3">
        <f>SUM(1!S13+2!S13+3!S13+4!S13+5!S13+6!S13+7!S13+8!S13+9!S13+'10'!S13+'11'!S13+'12'!S13+'13'!S13+'14'!S13+'15'!S13+'16'!S13+'17'!S13+'18'!S13+'19'!S13+'20'!S13+'21'!S13+'22'!S13+'23'!S13+'24'!S13+'25'!S13+'26'!S13+'27'!S13)</f>
        <v>0</v>
      </c>
      <c r="U13" s="64">
        <f>SUM(1!T13+2!T13+3!T13+4!T13+5!T13+6!T13+7!T13+8!T13+9!T13+'10'!T13+'11'!T13+'12'!T13+'13'!T13+'14'!T13+'15'!T13+'16'!T13+'17'!T13+'18'!T13+'19'!T13+'20'!T13+'21'!T13+'22'!T13+'23'!T13+'24'!T13+'25'!T13+'26'!T13+'27'!T13)</f>
        <v>0</v>
      </c>
      <c r="V13" s="3">
        <f>SUM(1!U13+2!U13+3!U13+4!U13+5!U13+6!U13+7!U13+8!U13+9!U13+'10'!U13+'11'!U13+'12'!U13+'13'!U13+'14'!U13+'15'!U13+'16'!U13+'17'!U13+'18'!U13+'19'!U13+'20'!U13+'21'!U13+'22'!U13+'23'!U13+'24'!U13+'25'!U13+'26'!U13+'27'!U13)</f>
        <v>1193776</v>
      </c>
      <c r="W13" s="3">
        <f>SUM(1!V13+2!V13+3!V13+4!V13+5!V13+6!V13+7!V13+8!V13+9!V13+'10'!V13+'11'!V13+'12'!V13+'13'!V13+'14'!V13+'15'!V13+'16'!V13+'17'!V13+'18'!V13+'19'!V13+'20'!V13+'21'!V13+'22'!V13+'23'!V13+'24'!V13+'25'!V13+'26'!V13+'27'!V13)</f>
        <v>257978</v>
      </c>
      <c r="X13" s="3">
        <f>SUM(1!W13+2!W13+3!W13+4!W13+5!W13+6!W13+7!W13+8!W13+9!W13+'10'!W13+'11'!W13+'12'!W13+'13'!W13+'14'!W13+'15'!W13+'16'!W13+'17'!W13+'18'!W13+'19'!W13+'20'!W13+'21'!W13+'22'!W13+'23'!W13+'24'!W13+'25'!W13+'26'!W13+'27'!W13)</f>
        <v>1164583</v>
      </c>
      <c r="Y13" s="3">
        <f>SUM(1!X13+2!X13+3!X13+4!X13+5!X13+6!X13+7!X13+8!X13+9!X13+'10'!X13+'11'!X13+'12'!X13+'13'!X13+'14'!X13+'15'!X13+'16'!X13+'17'!X13+'18'!X13+'19'!X13+'20'!X13+'21'!X13+'22'!X13+'23'!X13+'24'!X13+'25'!X13+'26'!X13+'27'!X13)</f>
        <v>833607</v>
      </c>
      <c r="Z13" s="3">
        <f>SUM(1!Y13+2!Y13+3!Y13+4!Y13+5!Y13+6!Y13+7!Y13+8!Y13+9!Y13+'10'!Y13+'11'!Y13+'12'!Y13+'13'!Y13+'14'!Y13+'15'!Y13+'16'!Y13+'17'!Y13+'18'!Y13+'19'!Y13+'20'!Y13+'21'!Y13+'22'!Y13+'23'!Y13+'24'!Y13+'25'!Y13+'26'!Y13+'27'!Y13)</f>
        <v>2060835</v>
      </c>
      <c r="AA13" s="3">
        <f>SUM(1!Z13+2!Z13+3!Z13+4!Z13+5!Z13+6!Z13+7!Z13+8!Z13+9!Z13+'10'!Z13+'11'!Z13+'12'!Z13+'13'!Z13+'14'!Z13+'15'!Z13+'16'!Z13+'17'!Z13+'18'!Z13+'19'!Z13+'20'!Z13+'21'!Z13+'22'!Z13+'23'!Z13+'24'!Z13+'25'!Z13+'26'!Z13+'27'!Z13)</f>
        <v>0</v>
      </c>
      <c r="AB13" s="3">
        <f t="shared" si="3"/>
        <v>5921385</v>
      </c>
      <c r="AC13" s="4">
        <f t="shared" si="4"/>
        <v>79808347</v>
      </c>
    </row>
    <row r="14" spans="1:29" ht="30" customHeight="1">
      <c r="A14" s="55" t="s">
        <v>63</v>
      </c>
      <c r="B14" s="3">
        <f>SUM(1!B14+2!B14+3!B14+4!B14+5!B14+6!B14+7!B14+8!B14+9!B14+'10'!B14+'11'!B14+'12'!B14+'13'!B14+'14'!B14+'15'!B14+'16'!B14+'17'!B14+'18'!B14+'19'!B14+'20'!B14+'21'!B14+'22'!B14+'23'!B14+'24'!B14+'25'!B14+'26'!B14+'27'!B14)</f>
        <v>18368772</v>
      </c>
      <c r="C14" s="3">
        <f>SUM(1!C14+2!C14+3!C14+4!C14+5!C14+6!C14+7!C14+8!C14+9!C14+'10'!C14+'11'!C14+'12'!C14+'13'!C14+'14'!C14+'15'!C14+'16'!C14+'17'!C14+'18'!C14+'19'!C14+'20'!C14+'21'!C14+'22'!C14+'23'!C14+'24'!C14+'25'!C14+'26'!C14+'27'!C14)</f>
        <v>6457393</v>
      </c>
      <c r="D14" s="3">
        <f>SUM(1!D14+2!D14+3!D14+4!D14+5!D14+6!D14+7!D14+8!D14+9!D14+'10'!D14+'11'!D14+'12'!D14+'13'!D14+'14'!D14+'15'!D14+'16'!D14+'17'!D14+'18'!D14+'19'!D14+'20'!D14+'21'!D14+'22'!D14+'23'!D14+'24'!D14+'25'!D14+'26'!D14+'27'!D14)</f>
        <v>0</v>
      </c>
      <c r="E14" s="3">
        <f>SUM(1!E14+2!E14+3!E14+4!E14+5!E14+6!E14+7!E14+8!E14+9!E14+'10'!E14+'11'!E14+'12'!E14+'13'!E14+'14'!E14+'15'!E14+'16'!E14+'17'!E14+'18'!E14+'19'!E14+'20'!E14+'21'!E14+'22'!E14+'23'!E14+'24'!E14+'25'!E14+'26'!E14+'27'!E14)</f>
        <v>0</v>
      </c>
      <c r="F14" s="3">
        <f>SUM(1!F14+2!F14+3!F14+4!F14+5!F14+6!F14+7!F14+8!F14+9!F14+'10'!F14+'11'!F14+'12'!F14+'13'!F14+'14'!F14+'15'!F14+'16'!F14+'17'!F14+'18'!F14+'19'!F14+'20'!F14+'21'!F14+'22'!F14+'23'!F14+'24'!F14+'25'!F14+'26'!F14+'27'!F14)</f>
        <v>11741327</v>
      </c>
      <c r="G14" s="3">
        <f>SUM(1!G14+2!G14+3!G14+4!G14+5!G14+6!G14+7!G14+8!G14+9!G14+'10'!G14+'11'!G14+'12'!G14+'13'!G14+'14'!G14+'15'!G14+'16'!G14+'17'!G14+'18'!G14+'19'!G14+'20'!G14+'21'!G14+'22'!G14+'23'!G14+'24'!G14+'25'!G14+'26'!G14+'27'!G14)</f>
        <v>22349432</v>
      </c>
      <c r="H14" s="64">
        <f>SUM(1!H14+2!H14+3!H14+4!H14+5!H14+6!H14+7!H14+8!H14+9!H14+'10'!H14+'11'!H14+'12'!H14+'13'!H14+'14'!H14+'15'!H14+'16'!H14+'17'!H14+'18'!H14+'19'!H14+'20'!H14+'21'!H14+'22'!H14+'23'!H14+'24'!H14+'25'!H14+'26'!H14+'27'!H14)</f>
        <v>117015031</v>
      </c>
      <c r="I14" s="3">
        <f>SUM(1!I14+2!I14+3!I14+4!I14+5!I14+6!I14+7!I14+8!I14+9!I14+'10'!I14+'11'!I14+'12'!I14+'13'!I14+'14'!I14+'15'!I14+'16'!I14+'17'!I14+'18'!I14+'19'!I14+'20'!I14+'21'!I14+'22'!I14+'23'!I14+'24'!I14+'25'!I14+'26'!I14+'27'!I14)</f>
        <v>68880</v>
      </c>
      <c r="J14" s="3">
        <f t="shared" si="2"/>
        <v>176000835</v>
      </c>
      <c r="K14" s="3">
        <f>SUM(1!K14+2!K14+3!K14+4!K14+5!K14+6!K14+7!K14+8!K14+9!K14+'10'!K14+'11'!K14+'12'!K14+'13'!K14+'14'!K14+'15'!K14+'16'!K14+'17'!K14+'18'!K14+'19'!K14+'20'!K14+'21'!K14+'22'!K14+'23'!K14+'24'!K14+'25'!K14+'26'!K14+'27'!K14)</f>
        <v>0</v>
      </c>
      <c r="L14" s="3">
        <f>SUM(1!L14+2!L14+3!L14+4!L14+5!L14+6!L14+7!L14+8!L14+9!L14+'10'!L14+'11'!L14+'12'!L14+'13'!L14+'14'!L14+'15'!L14+'16'!L14+'17'!L14+'18'!L14+'19'!L14+'20'!L14+'21'!L14+'22'!L14+'23'!L14+'24'!L14+'25'!L14+'26'!L14+'27'!L14)</f>
        <v>8263064</v>
      </c>
      <c r="M14" s="3">
        <f>SUM(1!M14+2!M14+3!M14+4!M14+5!M14+6!M14+7!M14+8!M14+9!M14+'10'!M14+'11'!M14+'12'!M14+'13'!M14+'14'!M14+'15'!M14+'16'!M14+'17'!M14+'18'!M14+'19'!M14+'20'!M14+'21'!M14+'22'!M14+'23'!M14+'24'!M14+'25'!M14+'26'!M14+'27'!M14)</f>
        <v>0</v>
      </c>
      <c r="N14" s="3">
        <f>SUM(1!N14+2!N14+3!N14+4!N14+5!N14+6!N14+7!N14+8!N14+9!N14+'10'!N14+'11'!N14+'12'!N14+'13'!N14+'14'!N14+'15'!N14+'16'!N14+'17'!N14+'18'!N14+'19'!N14+'20'!N14+'21'!N14+'22'!N14+'23'!N14+'24'!N14+'25'!N14+'26'!N14+'27'!N14)</f>
        <v>5508655</v>
      </c>
      <c r="O14" s="55" t="s">
        <v>63</v>
      </c>
      <c r="P14" s="3">
        <f>SUM(1!O14+2!O14+3!O14+4!O14+5!O14+6!O14+7!O14+8!O14+9!O14+'10'!O14+'11'!O14+'12'!O14+'13'!O14+'14'!O14+'15'!O14+'16'!O14+'17'!O14+'18'!O14+'19'!O14+'20'!O14+'21'!O14+'22'!O14+'23'!O14+'24'!O14+'25'!O14+'26'!O14+'27'!O14)</f>
        <v>159262</v>
      </c>
      <c r="Q14" s="3">
        <f>SUM(1!P14+2!P14+3!P14+4!P14+5!P14+6!P14+7!P14+8!P14+9!P14+'10'!P14+'11'!P14+'12'!P14+'13'!P14+'14'!P14+'15'!P14+'16'!P14+'17'!P14+'18'!P14+'19'!P14+'20'!P14+'21'!P14+'22'!P14+'23'!P14+'24'!P14+'25'!P14+'26'!P14+'27'!P14)</f>
        <v>13251459</v>
      </c>
      <c r="R14" s="3">
        <f>SUM(1!Q14+2!Q14+3!Q14+4!Q14+5!Q14+6!Q14+7!Q14+8!Q14+9!Q14+'10'!Q14+'11'!Q14+'12'!Q14+'13'!Q14+'14'!Q14+'15'!Q14+'16'!Q14+'17'!Q14+'18'!Q14+'19'!Q14+'20'!Q14+'21'!Q14+'22'!Q14+'23'!Q14+'24'!Q14+'25'!Q14+'26'!Q14+'27'!Q14)</f>
        <v>12914</v>
      </c>
      <c r="S14" s="3">
        <f>SUM(1!R14+2!R14+3!R14+4!R14+5!R14+6!R14+7!R14+8!R14+9!R14+'10'!R14+'11'!R14+'12'!R14+'13'!R14+'14'!R14+'15'!R14+'16'!R14+'17'!R14+'18'!R14+'19'!R14+'20'!R14+'21'!R14+'22'!R14+'23'!R14+'24'!R14+'25'!R14+'26'!R14+'27'!R14)</f>
        <v>223548</v>
      </c>
      <c r="T14" s="3">
        <f>SUM(1!S14+2!S14+3!S14+4!S14+5!S14+6!S14+7!S14+8!S14+9!S14+'10'!S14+'11'!S14+'12'!S14+'13'!S14+'14'!S14+'15'!S14+'16'!S14+'17'!S14+'18'!S14+'19'!S14+'20'!S14+'21'!S14+'22'!S14+'23'!S14+'24'!S14+'25'!S14+'26'!S14+'27'!S14)</f>
        <v>9992</v>
      </c>
      <c r="U14" s="64">
        <f>SUM(1!T14+2!T14+3!T14+4!T14+5!T14+6!T14+7!T14+8!T14+9!T14+'10'!T14+'11'!T14+'12'!T14+'13'!T14+'14'!T14+'15'!T14+'16'!T14+'17'!T14+'18'!T14+'19'!T14+'20'!T14+'21'!T14+'22'!T14+'23'!T14+'24'!T14+'25'!T14+'26'!T14+'27'!T14)</f>
        <v>0</v>
      </c>
      <c r="V14" s="3">
        <f>SUM(1!U14+2!U14+3!U14+4!U14+5!U14+6!U14+7!U14+8!U14+9!U14+'10'!U14+'11'!U14+'12'!U14+'13'!U14+'14'!U14+'15'!U14+'16'!U14+'17'!U14+'18'!U14+'19'!U14+'20'!U14+'21'!U14+'22'!U14+'23'!U14+'24'!U14+'25'!U14+'26'!U14+'27'!U14)</f>
        <v>1793185</v>
      </c>
      <c r="W14" s="3">
        <f>SUM(1!V14+2!V14+3!V14+4!V14+5!V14+6!V14+7!V14+8!V14+9!V14+'10'!V14+'11'!V14+'12'!V14+'13'!V14+'14'!V14+'15'!V14+'16'!V14+'17'!V14+'18'!V14+'19'!V14+'20'!V14+'21'!V14+'22'!V14+'23'!V14+'24'!V14+'25'!V14+'26'!V14+'27'!V14)</f>
        <v>433472</v>
      </c>
      <c r="X14" s="3">
        <f>SUM(1!W14+2!W14+3!W14+4!W14+5!W14+6!W14+7!W14+8!W14+9!W14+'10'!W14+'11'!W14+'12'!W14+'13'!W14+'14'!W14+'15'!W14+'16'!W14+'17'!W14+'18'!W14+'19'!W14+'20'!W14+'21'!W14+'22'!W14+'23'!W14+'24'!W14+'25'!W14+'26'!W14+'27'!W14)</f>
        <v>8638</v>
      </c>
      <c r="Y14" s="3">
        <f>SUM(1!X14+2!X14+3!X14+4!X14+5!X14+6!X14+7!X14+8!X14+9!X14+'10'!X14+'11'!X14+'12'!X14+'13'!X14+'14'!X14+'15'!X14+'16'!X14+'17'!X14+'18'!X14+'19'!X14+'20'!X14+'21'!X14+'22'!X14+'23'!X14+'24'!X14+'25'!X14+'26'!X14+'27'!X14)</f>
        <v>75314</v>
      </c>
      <c r="Z14" s="3">
        <f>SUM(1!Y14+2!Y14+3!Y14+4!Y14+5!Y14+6!Y14+7!Y14+8!Y14+9!Y14+'10'!Y14+'11'!Y14+'12'!Y14+'13'!Y14+'14'!Y14+'15'!Y14+'16'!Y14+'17'!Y14+'18'!Y14+'19'!Y14+'20'!Y14+'21'!Y14+'22'!Y14+'23'!Y14+'24'!Y14+'25'!Y14+'26'!Y14+'27'!Y14)</f>
        <v>1336123</v>
      </c>
      <c r="AA14" s="3">
        <f>SUM(1!Z14+2!Z14+3!Z14+4!Z14+5!Z14+6!Z14+7!Z14+8!Z14+9!Z14+'10'!Z14+'11'!Z14+'12'!Z14+'13'!Z14+'14'!Z14+'15'!Z14+'16'!Z14+'17'!Z14+'18'!Z14+'19'!Z14+'20'!Z14+'21'!Z14+'22'!Z14+'23'!Z14+'24'!Z14+'25'!Z14+'26'!Z14+'27'!Z14)</f>
        <v>29849</v>
      </c>
      <c r="AB14" s="3">
        <f t="shared" si="3"/>
        <v>31105475</v>
      </c>
      <c r="AC14" s="4">
        <f t="shared" si="4"/>
        <v>207106310</v>
      </c>
    </row>
    <row r="15" spans="1:29" ht="30" customHeight="1">
      <c r="A15" s="55" t="s">
        <v>64</v>
      </c>
      <c r="B15" s="3">
        <f>SUM(1!B15+2!B15+3!B15+4!B15+5!B15+6!B15+7!B15+8!B15+9!B15+'10'!B15+'11'!B15+'12'!B15+'13'!B15+'14'!B15+'15'!B15+'16'!B15+'17'!B15+'18'!B15+'19'!B15+'20'!B15+'21'!B15+'22'!B15+'23'!B15+'24'!B15+'25'!B15+'26'!B15+'27'!B15)</f>
        <v>2641149</v>
      </c>
      <c r="C15" s="3">
        <f>SUM(1!C15+2!C15+3!C15+4!C15+5!C15+6!C15+7!C15+8!C15+9!C15+'10'!C15+'11'!C15+'12'!C15+'13'!C15+'14'!C15+'15'!C15+'16'!C15+'17'!C15+'18'!C15+'19'!C15+'20'!C15+'21'!C15+'22'!C15+'23'!C15+'24'!C15+'25'!C15+'26'!C15+'27'!C15)</f>
        <v>6565556</v>
      </c>
      <c r="D15" s="3">
        <f>SUM(1!D15+2!D15+3!D15+4!D15+5!D15+6!D15+7!D15+8!D15+9!D15+'10'!D15+'11'!D15+'12'!D15+'13'!D15+'14'!D15+'15'!D15+'16'!D15+'17'!D15+'18'!D15+'19'!D15+'20'!D15+'21'!D15+'22'!D15+'23'!D15+'24'!D15+'25'!D15+'26'!D15+'27'!D15)</f>
        <v>0</v>
      </c>
      <c r="E15" s="3">
        <f>SUM(1!E15+2!E15+3!E15+4!E15+5!E15+6!E15+7!E15+8!E15+9!E15+'10'!E15+'11'!E15+'12'!E15+'13'!E15+'14'!E15+'15'!E15+'16'!E15+'17'!E15+'18'!E15+'19'!E15+'20'!E15+'21'!E15+'22'!E15+'23'!E15+'24'!E15+'25'!E15+'26'!E15+'27'!E15)</f>
        <v>10753</v>
      </c>
      <c r="F15" s="3">
        <f>SUM(1!F15+2!F15+3!F15+4!F15+5!F15+6!F15+7!F15+8!F15+9!F15+'10'!F15+'11'!F15+'12'!F15+'13'!F15+'14'!F15+'15'!F15+'16'!F15+'17'!F15+'18'!F15+'19'!F15+'20'!F15+'21'!F15+'22'!F15+'23'!F15+'24'!F15+'25'!F15+'26'!F15+'27'!F15)</f>
        <v>43136</v>
      </c>
      <c r="G15" s="3">
        <f>SUM(1!G15+2!G15+3!G15+4!G15+5!G15+6!G15+7!G15+8!G15+9!G15+'10'!G15+'11'!G15+'12'!G15+'13'!G15+'14'!G15+'15'!G15+'16'!G15+'17'!G15+'18'!G15+'19'!G15+'20'!G15+'21'!G15+'22'!G15+'23'!G15+'24'!G15+'25'!G15+'26'!G15+'27'!G15)</f>
        <v>10899577</v>
      </c>
      <c r="H15" s="64">
        <f>SUM(1!H15+2!H15+3!H15+4!H15+5!H15+6!H15+7!H15+8!H15+9!H15+'10'!H15+'11'!H15+'12'!H15+'13'!H15+'14'!H15+'15'!H15+'16'!H15+'17'!H15+'18'!H15+'19'!H15+'20'!H15+'21'!H15+'22'!H15+'23'!H15+'24'!H15+'25'!H15+'26'!H15+'27'!H15)</f>
        <v>10213096</v>
      </c>
      <c r="I15" s="3">
        <f>SUM(1!I15+2!I15+3!I15+4!I15+5!I15+6!I15+7!I15+8!I15+9!I15+'10'!I15+'11'!I15+'12'!I15+'13'!I15+'14'!I15+'15'!I15+'16'!I15+'17'!I15+'18'!I15+'19'!I15+'20'!I15+'21'!I15+'22'!I15+'23'!I15+'24'!I15+'25'!I15+'26'!I15+'27'!I15)</f>
        <v>2702</v>
      </c>
      <c r="J15" s="3">
        <f t="shared" si="2"/>
        <v>30375969</v>
      </c>
      <c r="K15" s="3">
        <f>SUM(1!K15+2!K15+3!K15+4!K15+5!K15+6!K15+7!K15+8!K15+9!K15+'10'!K15+'11'!K15+'12'!K15+'13'!K15+'14'!K15+'15'!K15+'16'!K15+'17'!K15+'18'!K15+'19'!K15+'20'!K15+'21'!K15+'22'!K15+'23'!K15+'24'!K15+'25'!K15+'26'!K15+'27'!K15)</f>
        <v>0</v>
      </c>
      <c r="L15" s="3">
        <f>SUM(1!L15+2!L15+3!L15+4!L15+5!L15+6!L15+7!L15+8!L15+9!L15+'10'!L15+'11'!L15+'12'!L15+'13'!L15+'14'!L15+'15'!L15+'16'!L15+'17'!L15+'18'!L15+'19'!L15+'20'!L15+'21'!L15+'22'!L15+'23'!L15+'24'!L15+'25'!L15+'26'!L15+'27'!L15)</f>
        <v>0</v>
      </c>
      <c r="M15" s="3">
        <f>SUM(1!M15+2!M15+3!M15+4!M15+5!M15+6!M15+7!M15+8!M15+9!M15+'10'!M15+'11'!M15+'12'!M15+'13'!M15+'14'!M15+'15'!M15+'16'!M15+'17'!M15+'18'!M15+'19'!M15+'20'!M15+'21'!M15+'22'!M15+'23'!M15+'24'!M15+'25'!M15+'26'!M15+'27'!M15)</f>
        <v>0</v>
      </c>
      <c r="N15" s="3">
        <f>SUM(1!N15+2!N15+3!N15+4!N15+5!N15+6!N15+7!N15+8!N15+9!N15+'10'!N15+'11'!N15+'12'!N15+'13'!N15+'14'!N15+'15'!N15+'16'!N15+'17'!N15+'18'!N15+'19'!N15+'20'!N15+'21'!N15+'22'!N15+'23'!N15+'24'!N15+'25'!N15+'26'!N15+'27'!N15)</f>
        <v>1687</v>
      </c>
      <c r="O15" s="55" t="s">
        <v>64</v>
      </c>
      <c r="P15" s="3">
        <f>SUM(1!O15+2!O15+3!O15+4!O15+5!O15+6!O15+7!O15+8!O15+9!O15+'10'!O15+'11'!O15+'12'!O15+'13'!O15+'14'!O15+'15'!O15+'16'!O15+'17'!O15+'18'!O15+'19'!O15+'20'!O15+'21'!O15+'22'!O15+'23'!O15+'24'!O15+'25'!O15+'26'!O15+'27'!O15)</f>
        <v>340537</v>
      </c>
      <c r="Q15" s="3">
        <f>SUM(1!P15+2!P15+3!P15+4!P15+5!P15+6!P15+7!P15+8!P15+9!P15+'10'!P15+'11'!P15+'12'!P15+'13'!P15+'14'!P15+'15'!P15+'16'!P15+'17'!P15+'18'!P15+'19'!P15+'20'!P15+'21'!P15+'22'!P15+'23'!P15+'24'!P15+'25'!P15+'26'!P15+'27'!P15)</f>
        <v>269833</v>
      </c>
      <c r="R15" s="3">
        <f>SUM(1!Q15+2!Q15+3!Q15+4!Q15+5!Q15+6!Q15+7!Q15+8!Q15+9!Q15+'10'!Q15+'11'!Q15+'12'!Q15+'13'!Q15+'14'!Q15+'15'!Q15+'16'!Q15+'17'!Q15+'18'!Q15+'19'!Q15+'20'!Q15+'21'!Q15+'22'!Q15+'23'!Q15+'24'!Q15+'25'!Q15+'26'!Q15+'27'!Q15)</f>
        <v>3131</v>
      </c>
      <c r="S15" s="3">
        <f>SUM(1!R15+2!R15+3!R15+4!R15+5!R15+6!R15+7!R15+8!R15+9!R15+'10'!R15+'11'!R15+'12'!R15+'13'!R15+'14'!R15+'15'!R15+'16'!R15+'17'!R15+'18'!R15+'19'!R15+'20'!R15+'21'!R15+'22'!R15+'23'!R15+'24'!R15+'25'!R15+'26'!R15+'27'!R15)</f>
        <v>0</v>
      </c>
      <c r="T15" s="3">
        <f>SUM(1!S15+2!S15+3!S15+4!S15+5!S15+6!S15+7!S15+8!S15+9!S15+'10'!S15+'11'!S15+'12'!S15+'13'!S15+'14'!S15+'15'!S15+'16'!S15+'17'!S15+'18'!S15+'19'!S15+'20'!S15+'21'!S15+'22'!S15+'23'!S15+'24'!S15+'25'!S15+'26'!S15+'27'!S15)</f>
        <v>0</v>
      </c>
      <c r="U15" s="64">
        <f>SUM(1!T15+2!T15+3!T15+4!T15+5!T15+6!T15+7!T15+8!T15+9!T15+'10'!T15+'11'!T15+'12'!T15+'13'!T15+'14'!T15+'15'!T15+'16'!T15+'17'!T15+'18'!T15+'19'!T15+'20'!T15+'21'!T15+'22'!T15+'23'!T15+'24'!T15+'25'!T15+'26'!T15+'27'!T15)</f>
        <v>0</v>
      </c>
      <c r="V15" s="3">
        <f>SUM(1!U15+2!U15+3!U15+4!U15+5!U15+6!U15+7!U15+8!U15+9!U15+'10'!U15+'11'!U15+'12'!U15+'13'!U15+'14'!U15+'15'!U15+'16'!U15+'17'!U15+'18'!U15+'19'!U15+'20'!U15+'21'!U15+'22'!U15+'23'!U15+'24'!U15+'25'!U15+'26'!U15+'27'!U15)</f>
        <v>547513</v>
      </c>
      <c r="W15" s="3">
        <f>SUM(1!V15+2!V15+3!V15+4!V15+5!V15+6!V15+7!V15+8!V15+9!V15+'10'!V15+'11'!V15+'12'!V15+'13'!V15+'14'!V15+'15'!V15+'16'!V15+'17'!V15+'18'!V15+'19'!V15+'20'!V15+'21'!V15+'22'!V15+'23'!V15+'24'!V15+'25'!V15+'26'!V15+'27'!V15)</f>
        <v>0</v>
      </c>
      <c r="X15" s="3">
        <f>SUM(1!W15+2!W15+3!W15+4!W15+5!W15+6!W15+7!W15+8!W15+9!W15+'10'!W15+'11'!W15+'12'!W15+'13'!W15+'14'!W15+'15'!W15+'16'!W15+'17'!W15+'18'!W15+'19'!W15+'20'!W15+'21'!W15+'22'!W15+'23'!W15+'24'!W15+'25'!W15+'26'!W15+'27'!W15)</f>
        <v>81970</v>
      </c>
      <c r="Y15" s="3">
        <f>SUM(1!X15+2!X15+3!X15+4!X15+5!X15+6!X15+7!X15+8!X15+9!X15+'10'!X15+'11'!X15+'12'!X15+'13'!X15+'14'!X15+'15'!X15+'16'!X15+'17'!X15+'18'!X15+'19'!X15+'20'!X15+'21'!X15+'22'!X15+'23'!X15+'24'!X15+'25'!X15+'26'!X15+'27'!X15)</f>
        <v>97902</v>
      </c>
      <c r="Z15" s="3">
        <f>SUM(1!Y15+2!Y15+3!Y15+4!Y15+5!Y15+6!Y15+7!Y15+8!Y15+9!Y15+'10'!Y15+'11'!Y15+'12'!Y15+'13'!Y15+'14'!Y15+'15'!Y15+'16'!Y15+'17'!Y15+'18'!Y15+'19'!Y15+'20'!Y15+'21'!Y15+'22'!Y15+'23'!Y15+'24'!Y15+'25'!Y15+'26'!Y15+'27'!Y15)</f>
        <v>639792</v>
      </c>
      <c r="AA15" s="3">
        <f>SUM(1!Z15+2!Z15+3!Z15+4!Z15+5!Z15+6!Z15+7!Z15+8!Z15+9!Z15+'10'!Z15+'11'!Z15+'12'!Z15+'13'!Z15+'14'!Z15+'15'!Z15+'16'!Z15+'17'!Z15+'18'!Z15+'19'!Z15+'20'!Z15+'21'!Z15+'22'!Z15+'23'!Z15+'24'!Z15+'25'!Z15+'26'!Z15+'27'!Z15)</f>
        <v>464</v>
      </c>
      <c r="AB15" s="3">
        <f t="shared" si="3"/>
        <v>1982829</v>
      </c>
      <c r="AC15" s="4">
        <f t="shared" si="4"/>
        <v>32358798</v>
      </c>
    </row>
    <row r="16" spans="1:29" ht="30" customHeight="1">
      <c r="A16" s="55" t="s">
        <v>65</v>
      </c>
      <c r="B16" s="3">
        <f>SUM(1!B16+2!B16+3!B16+4!B16+5!B16+6!B16+7!B16+8!B16+9!B16+'10'!B16+'11'!B16+'12'!B16+'13'!B16+'14'!B16+'15'!B16+'16'!B16+'17'!B16+'18'!B16+'19'!B16+'20'!B16+'21'!B16+'22'!B16+'23'!B16+'24'!B16+'25'!B16+'26'!B16+'27'!B16)</f>
        <v>120003260</v>
      </c>
      <c r="C16" s="3">
        <f>SUM(1!C16+2!C16+3!C16+4!C16+5!C16+6!C16+7!C16+8!C16+9!C16+'10'!C16+'11'!C16+'12'!C16+'13'!C16+'14'!C16+'15'!C16+'16'!C16+'17'!C16+'18'!C16+'19'!C16+'20'!C16+'21'!C16+'22'!C16+'23'!C16+'24'!C16+'25'!C16+'26'!C16+'27'!C16)</f>
        <v>1221620</v>
      </c>
      <c r="D16" s="3">
        <f>SUM(1!D16+2!D16+3!D16+4!D16+5!D16+6!D16+7!D16+8!D16+9!D16+'10'!D16+'11'!D16+'12'!D16+'13'!D16+'14'!D16+'15'!D16+'16'!D16+'17'!D16+'18'!D16+'19'!D16+'20'!D16+'21'!D16+'22'!D16+'23'!D16+'24'!D16+'25'!D16+'26'!D16+'27'!D16)</f>
        <v>0</v>
      </c>
      <c r="E16" s="3">
        <f>SUM(1!E16+2!E16+3!E16+4!E16+5!E16+6!E16+7!E16+8!E16+9!E16+'10'!E16+'11'!E16+'12'!E16+'13'!E16+'14'!E16+'15'!E16+'16'!E16+'17'!E16+'18'!E16+'19'!E16+'20'!E16+'21'!E16+'22'!E16+'23'!E16+'24'!E16+'25'!E16+'26'!E16+'27'!E16)</f>
        <v>0</v>
      </c>
      <c r="F16" s="3">
        <f>SUM(1!F16+2!F16+3!F16+4!F16+5!F16+6!F16+7!F16+8!F16+9!F16+'10'!F16+'11'!F16+'12'!F16+'13'!F16+'14'!F16+'15'!F16+'16'!F16+'17'!F16+'18'!F16+'19'!F16+'20'!F16+'21'!F16+'22'!F16+'23'!F16+'24'!F16+'25'!F16+'26'!F16+'27'!F16)</f>
        <v>25701</v>
      </c>
      <c r="G16" s="3">
        <f>SUM(1!G16+2!G16+3!G16+4!G16+5!G16+6!G16+7!G16+8!G16+9!G16+'10'!G16+'11'!G16+'12'!G16+'13'!G16+'14'!G16+'15'!G16+'16'!G16+'17'!G16+'18'!G16+'19'!G16+'20'!G16+'21'!G16+'22'!G16+'23'!G16+'24'!G16+'25'!G16+'26'!G16+'27'!G16)</f>
        <v>248928658</v>
      </c>
      <c r="H16" s="64">
        <f>SUM(1!H16+2!H16+3!H16+4!H16+5!H16+6!H16+7!H16+8!H16+9!H16+'10'!H16+'11'!H16+'12'!H16+'13'!H16+'14'!H16+'15'!H16+'16'!H16+'17'!H16+'18'!H16+'19'!H16+'20'!H16+'21'!H16+'22'!H16+'23'!H16+'24'!H16+'25'!H16+'26'!H16+'27'!H16)</f>
        <v>49886448</v>
      </c>
      <c r="I16" s="3">
        <f>SUM(1!I16+2!I16+3!I16+4!I16+5!I16+6!I16+7!I16+8!I16+9!I16+'10'!I16+'11'!I16+'12'!I16+'13'!I16+'14'!I16+'15'!I16+'16'!I16+'17'!I16+'18'!I16+'19'!I16+'20'!I16+'21'!I16+'22'!I16+'23'!I16+'24'!I16+'25'!I16+'26'!I16+'27'!I16)</f>
        <v>2</v>
      </c>
      <c r="J16" s="3">
        <f t="shared" si="2"/>
        <v>420065689</v>
      </c>
      <c r="K16" s="3">
        <f>SUM(1!K16+2!K16+3!K16+4!K16+5!K16+6!K16+7!K16+8!K16+9!K16+'10'!K16+'11'!K16+'12'!K16+'13'!K16+'14'!K16+'15'!K16+'16'!K16+'17'!K16+'18'!K16+'19'!K16+'20'!K16+'21'!K16+'22'!K16+'23'!K16+'24'!K16+'25'!K16+'26'!K16+'27'!K16)</f>
        <v>0</v>
      </c>
      <c r="L16" s="3">
        <f>SUM(1!L16+2!L16+3!L16+4!L16+5!L16+6!L16+7!L16+8!L16+9!L16+'10'!L16+'11'!L16+'12'!L16+'13'!L16+'14'!L16+'15'!L16+'16'!L16+'17'!L16+'18'!L16+'19'!L16+'20'!L16+'21'!L16+'22'!L16+'23'!L16+'24'!L16+'25'!L16+'26'!L16+'27'!L16)</f>
        <v>0</v>
      </c>
      <c r="M16" s="3">
        <f>SUM(1!M16+2!M16+3!M16+4!M16+5!M16+6!M16+7!M16+8!M16+9!M16+'10'!M16+'11'!M16+'12'!M16+'13'!M16+'14'!M16+'15'!M16+'16'!M16+'17'!M16+'18'!M16+'19'!M16+'20'!M16+'21'!M16+'22'!M16+'23'!M16+'24'!M16+'25'!M16+'26'!M16+'27'!M16)</f>
        <v>0</v>
      </c>
      <c r="N16" s="3">
        <f>SUM(1!N16+2!N16+3!N16+4!N16+5!N16+6!N16+7!N16+8!N16+9!N16+'10'!N16+'11'!N16+'12'!N16+'13'!N16+'14'!N16+'15'!N16+'16'!N16+'17'!N16+'18'!N16+'19'!N16+'20'!N16+'21'!N16+'22'!N16+'23'!N16+'24'!N16+'25'!N16+'26'!N16+'27'!N16)</f>
        <v>4922</v>
      </c>
      <c r="O16" s="55" t="s">
        <v>65</v>
      </c>
      <c r="P16" s="3">
        <f>SUM(1!O16+2!O16+3!O16+4!O16+5!O16+6!O16+7!O16+8!O16+9!O16+'10'!O16+'11'!O16+'12'!O16+'13'!O16+'14'!O16+'15'!O16+'16'!O16+'17'!O16+'18'!O16+'19'!O16+'20'!O16+'21'!O16+'22'!O16+'23'!O16+'24'!O16+'25'!O16+'26'!O16+'27'!O16)</f>
        <v>451154</v>
      </c>
      <c r="Q16" s="3">
        <f>SUM(1!P16+2!P16+3!P16+4!P16+5!P16+6!P16+7!P16+8!P16+9!P16+'10'!P16+'11'!P16+'12'!P16+'13'!P16+'14'!P16+'15'!P16+'16'!P16+'17'!P16+'18'!P16+'19'!P16+'20'!P16+'21'!P16+'22'!P16+'23'!P16+'24'!P16+'25'!P16+'26'!P16+'27'!P16)</f>
        <v>32045</v>
      </c>
      <c r="R16" s="3">
        <f>SUM(1!Q16+2!Q16+3!Q16+4!Q16+5!Q16+6!Q16+7!Q16+8!Q16+9!Q16+'10'!Q16+'11'!Q16+'12'!Q16+'13'!Q16+'14'!Q16+'15'!Q16+'16'!Q16+'17'!Q16+'18'!Q16+'19'!Q16+'20'!Q16+'21'!Q16+'22'!Q16+'23'!Q16+'24'!Q16+'25'!Q16+'26'!Q16+'27'!Q16)</f>
        <v>0</v>
      </c>
      <c r="S16" s="3">
        <f>SUM(1!R16+2!R16+3!R16+4!R16+5!R16+6!R16+7!R16+8!R16+9!R16+'10'!R16+'11'!R16+'12'!R16+'13'!R16+'14'!R16+'15'!R16+'16'!R16+'17'!R16+'18'!R16+'19'!R16+'20'!R16+'21'!R16+'22'!R16+'23'!R16+'24'!R16+'25'!R16+'26'!R16+'27'!R16)</f>
        <v>0</v>
      </c>
      <c r="T16" s="3">
        <f>SUM(1!S16+2!S16+3!S16+4!S16+5!S16+6!S16+7!S16+8!S16+9!S16+'10'!S16+'11'!S16+'12'!S16+'13'!S16+'14'!S16+'15'!S16+'16'!S16+'17'!S16+'18'!S16+'19'!S16+'20'!S16+'21'!S16+'22'!S16+'23'!S16+'24'!S16+'25'!S16+'26'!S16+'27'!S16)</f>
        <v>0</v>
      </c>
      <c r="U16" s="64">
        <f>SUM(1!T16+2!T16+3!T16+4!T16+5!T16+6!T16+7!T16+8!T16+9!T16+'10'!T16+'11'!T16+'12'!T16+'13'!T16+'14'!T16+'15'!T16+'16'!T16+'17'!T16+'18'!T16+'19'!T16+'20'!T16+'21'!T16+'22'!T16+'23'!T16+'24'!T16+'25'!T16+'26'!T16+'27'!T16)</f>
        <v>0</v>
      </c>
      <c r="V16" s="3">
        <f>SUM(1!U16+2!U16+3!U16+4!U16+5!U16+6!U16+7!U16+8!U16+9!U16+'10'!U16+'11'!U16+'12'!U16+'13'!U16+'14'!U16+'15'!U16+'16'!U16+'17'!U16+'18'!U16+'19'!U16+'20'!U16+'21'!U16+'22'!U16+'23'!U16+'24'!U16+'25'!U16+'26'!U16+'27'!U16)</f>
        <v>0</v>
      </c>
      <c r="W16" s="3">
        <f>SUM(1!V16+2!V16+3!V16+4!V16+5!V16+6!V16+7!V16+8!V16+9!V16+'10'!V16+'11'!V16+'12'!V16+'13'!V16+'14'!V16+'15'!V16+'16'!V16+'17'!V16+'18'!V16+'19'!V16+'20'!V16+'21'!V16+'22'!V16+'23'!V16+'24'!V16+'25'!V16+'26'!V16+'27'!V16)</f>
        <v>0</v>
      </c>
      <c r="X16" s="3">
        <f>SUM(1!W16+2!W16+3!W16+4!W16+5!W16+6!W16+7!W16+8!W16+9!W16+'10'!W16+'11'!W16+'12'!W16+'13'!W16+'14'!W16+'15'!W16+'16'!W16+'17'!W16+'18'!W16+'19'!W16+'20'!W16+'21'!W16+'22'!W16+'23'!W16+'24'!W16+'25'!W16+'26'!W16+'27'!W16)</f>
        <v>0</v>
      </c>
      <c r="Y16" s="3">
        <f>SUM(1!X16+2!X16+3!X16+4!X16+5!X16+6!X16+7!X16+8!X16+9!X16+'10'!X16+'11'!X16+'12'!X16+'13'!X16+'14'!X16+'15'!X16+'16'!X16+'17'!X16+'18'!X16+'19'!X16+'20'!X16+'21'!X16+'22'!X16+'23'!X16+'24'!X16+'25'!X16+'26'!X16+'27'!X16)</f>
        <v>19695</v>
      </c>
      <c r="Z16" s="3">
        <f>SUM(1!Y16+2!Y16+3!Y16+4!Y16+5!Y16+6!Y16+7!Y16+8!Y16+9!Y16+'10'!Y16+'11'!Y16+'12'!Y16+'13'!Y16+'14'!Y16+'15'!Y16+'16'!Y16+'17'!Y16+'18'!Y16+'19'!Y16+'20'!Y16+'21'!Y16+'22'!Y16+'23'!Y16+'24'!Y16+'25'!Y16+'26'!Y16+'27'!Y16)</f>
        <v>16574</v>
      </c>
      <c r="AA16" s="3">
        <f>SUM(1!Z16+2!Z16+3!Z16+4!Z16+5!Z16+6!Z16+7!Z16+8!Z16+9!Z16+'10'!Z16+'11'!Z16+'12'!Z16+'13'!Z16+'14'!Z16+'15'!Z16+'16'!Z16+'17'!Z16+'18'!Z16+'19'!Z16+'20'!Z16+'21'!Z16+'22'!Z16+'23'!Z16+'24'!Z16+'25'!Z16+'26'!Z16+'27'!Z16)</f>
        <v>33175</v>
      </c>
      <c r="AB16" s="3">
        <f t="shared" si="3"/>
        <v>557565</v>
      </c>
      <c r="AC16" s="4">
        <f t="shared" si="4"/>
        <v>420623254</v>
      </c>
    </row>
    <row r="17" spans="1:29" ht="30" customHeight="1">
      <c r="A17" s="55" t="s">
        <v>66</v>
      </c>
      <c r="B17" s="3">
        <f>SUM(1!B17+2!B17+3!B17+4!B17+5!B17+6!B17+7!B17+8!B17+9!B17+'10'!B17+'11'!B17+'12'!B17+'13'!B17+'14'!B17+'15'!B17+'16'!B17+'17'!B17+'18'!B17+'19'!B17+'20'!B17+'21'!B17+'22'!B17+'23'!B17+'24'!B17+'25'!B17+'26'!B17+'27'!B17)</f>
        <v>1258</v>
      </c>
      <c r="C17" s="3">
        <f>SUM(1!C17+2!C17+3!C17+4!C17+5!C17+6!C17+7!C17+8!C17+9!C17+'10'!C17+'11'!C17+'12'!C17+'13'!C17+'14'!C17+'15'!C17+'16'!C17+'17'!C17+'18'!C17+'19'!C17+'20'!C17+'21'!C17+'22'!C17+'23'!C17+'24'!C17+'25'!C17+'26'!C17+'27'!C17)</f>
        <v>85745</v>
      </c>
      <c r="D17" s="3">
        <f>SUM(1!D17+2!D17+3!D17+4!D17+5!D17+6!D17+7!D17+8!D17+9!D17+'10'!D17+'11'!D17+'12'!D17+'13'!D17+'14'!D17+'15'!D17+'16'!D17+'17'!D17+'18'!D17+'19'!D17+'20'!D17+'21'!D17+'22'!D17+'23'!D17+'24'!D17+'25'!D17+'26'!D17+'27'!D17)</f>
        <v>0</v>
      </c>
      <c r="E17" s="3">
        <f>SUM(1!E17+2!E17+3!E17+4!E17+5!E17+6!E17+7!E17+8!E17+9!E17+'10'!E17+'11'!E17+'12'!E17+'13'!E17+'14'!E17+'15'!E17+'16'!E17+'17'!E17+'18'!E17+'19'!E17+'20'!E17+'21'!E17+'22'!E17+'23'!E17+'24'!E17+'25'!E17+'26'!E17+'27'!E17)</f>
        <v>0</v>
      </c>
      <c r="F17" s="3">
        <f>SUM(1!F17+2!F17+3!F17+4!F17+5!F17+6!F17+7!F17+8!F17+9!F17+'10'!F17+'11'!F17+'12'!F17+'13'!F17+'14'!F17+'15'!F17+'16'!F17+'17'!F17+'18'!F17+'19'!F17+'20'!F17+'21'!F17+'22'!F17+'23'!F17+'24'!F17+'25'!F17+'26'!F17+'27'!F17)</f>
        <v>0</v>
      </c>
      <c r="G17" s="3">
        <f>SUM(1!G17+2!G17+3!G17+4!G17+5!G17+6!G17+7!G17+8!G17+9!G17+'10'!G17+'11'!G17+'12'!G17+'13'!G17+'14'!G17+'15'!G17+'16'!G17+'17'!G17+'18'!G17+'19'!G17+'20'!G17+'21'!G17+'22'!G17+'23'!G17+'24'!G17+'25'!G17+'26'!G17+'27'!G17)</f>
        <v>0</v>
      </c>
      <c r="H17" s="64">
        <f>SUM(1!H17+2!H17+3!H17+4!H17+5!H17+6!H17+7!H17+8!H17+9!H17+'10'!H17+'11'!H17+'12'!H17+'13'!H17+'14'!H17+'15'!H17+'16'!H17+'17'!H17+'18'!H17+'19'!H17+'20'!H17+'21'!H17+'22'!H17+'23'!H17+'24'!H17+'25'!H17+'26'!H17+'27'!H17)</f>
        <v>174076</v>
      </c>
      <c r="I17" s="3">
        <f>SUM(1!I17+2!I17+3!I17+4!I17+5!I17+6!I17+7!I17+8!I17+9!I17+'10'!I17+'11'!I17+'12'!I17+'13'!I17+'14'!I17+'15'!I17+'16'!I17+'17'!I17+'18'!I17+'19'!I17+'20'!I17+'21'!I17+'22'!I17+'23'!I17+'24'!I17+'25'!I17+'26'!I17+'27'!I17)</f>
        <v>0</v>
      </c>
      <c r="J17" s="3">
        <f t="shared" si="2"/>
        <v>261079</v>
      </c>
      <c r="K17" s="3">
        <f>SUM(1!K17+2!K17+3!K17+4!K17+5!K17+6!K17+7!K17+8!K17+9!K17+'10'!K17+'11'!K17+'12'!K17+'13'!K17+'14'!K17+'15'!K17+'16'!K17+'17'!K17+'18'!K17+'19'!K17+'20'!K17+'21'!K17+'22'!K17+'23'!K17+'24'!K17+'25'!K17+'26'!K17+'27'!K17)</f>
        <v>0</v>
      </c>
      <c r="L17" s="3">
        <f>SUM(1!L17+2!L17+3!L17+4!L17+5!L17+6!L17+7!L17+8!L17+9!L17+'10'!L17+'11'!L17+'12'!L17+'13'!L17+'14'!L17+'15'!L17+'16'!L17+'17'!L17+'18'!L17+'19'!L17+'20'!L17+'21'!L17+'22'!L17+'23'!L17+'24'!L17+'25'!L17+'26'!L17+'27'!L17)</f>
        <v>100000</v>
      </c>
      <c r="M17" s="3">
        <f>SUM(1!M17+2!M17+3!M17+4!M17+5!M17+6!M17+7!M17+8!M17+9!M17+'10'!M17+'11'!M17+'12'!M17+'13'!M17+'14'!M17+'15'!M17+'16'!M17+'17'!M17+'18'!M17+'19'!M17+'20'!M17+'21'!M17+'22'!M17+'23'!M17+'24'!M17+'25'!M17+'26'!M17+'27'!M17)</f>
        <v>0</v>
      </c>
      <c r="N17" s="3">
        <f>SUM(1!N17+2!N17+3!N17+4!N17+5!N17+6!N17+7!N17+8!N17+9!N17+'10'!N17+'11'!N17+'12'!N17+'13'!N17+'14'!N17+'15'!N17+'16'!N17+'17'!N17+'18'!N17+'19'!N17+'20'!N17+'21'!N17+'22'!N17+'23'!N17+'24'!N17+'25'!N17+'26'!N17+'27'!N17)</f>
        <v>0</v>
      </c>
      <c r="O17" s="55" t="s">
        <v>66</v>
      </c>
      <c r="P17" s="3">
        <f>SUM(1!O17+2!O17+3!O17+4!O17+5!O17+6!O17+7!O17+8!O17+9!O17+'10'!O17+'11'!O17+'12'!O17+'13'!O17+'14'!O17+'15'!O17+'16'!O17+'17'!O17+'18'!O17+'19'!O17+'20'!O17+'21'!O17+'22'!O17+'23'!O17+'24'!O17+'25'!O17+'26'!O17+'27'!O17)</f>
        <v>0</v>
      </c>
      <c r="Q17" s="3">
        <f>SUM(1!P17+2!P17+3!P17+4!P17+5!P17+6!P17+7!P17+8!P17+9!P17+'10'!P17+'11'!P17+'12'!P17+'13'!P17+'14'!P17+'15'!P17+'16'!P17+'17'!P17+'18'!P17+'19'!P17+'20'!P17+'21'!P17+'22'!P17+'23'!P17+'24'!P17+'25'!P17+'26'!P17+'27'!P17)</f>
        <v>10717711</v>
      </c>
      <c r="R17" s="3">
        <f>SUM(1!Q17+2!Q17+3!Q17+4!Q17+5!Q17+6!Q17+7!Q17+8!Q17+9!Q17+'10'!Q17+'11'!Q17+'12'!Q17+'13'!Q17+'14'!Q17+'15'!Q17+'16'!Q17+'17'!Q17+'18'!Q17+'19'!Q17+'20'!Q17+'21'!Q17+'22'!Q17+'23'!Q17+'24'!Q17+'25'!Q17+'26'!Q17+'27'!Q17)</f>
        <v>0</v>
      </c>
      <c r="S17" s="3">
        <f>SUM(1!R17+2!R17+3!R17+4!R17+5!R17+6!R17+7!R17+8!R17+9!R17+'10'!R17+'11'!R17+'12'!R17+'13'!R17+'14'!R17+'15'!R17+'16'!R17+'17'!R17+'18'!R17+'19'!R17+'20'!R17+'21'!R17+'22'!R17+'23'!R17+'24'!R17+'25'!R17+'26'!R17+'27'!R17)</f>
        <v>0</v>
      </c>
      <c r="T17" s="3">
        <f>SUM(1!S17+2!S17+3!S17+4!S17+5!S17+6!S17+7!S17+8!S17+9!S17+'10'!S17+'11'!S17+'12'!S17+'13'!S17+'14'!S17+'15'!S17+'16'!S17+'17'!S17+'18'!S17+'19'!S17+'20'!S17+'21'!S17+'22'!S17+'23'!S17+'24'!S17+'25'!S17+'26'!S17+'27'!S17)</f>
        <v>0</v>
      </c>
      <c r="U17" s="64">
        <f>SUM(1!T17+2!T17+3!T17+4!T17+5!T17+6!T17+7!T17+8!T17+9!T17+'10'!T17+'11'!T17+'12'!T17+'13'!T17+'14'!T17+'15'!T17+'16'!T17+'17'!T17+'18'!T17+'19'!T17+'20'!T17+'21'!T17+'22'!T17+'23'!T17+'24'!T17+'25'!T17+'26'!T17+'27'!T17)</f>
        <v>0</v>
      </c>
      <c r="V17" s="3">
        <f>SUM(1!U17+2!U17+3!U17+4!U17+5!U17+6!U17+7!U17+8!U17+9!U17+'10'!U17+'11'!U17+'12'!U17+'13'!U17+'14'!U17+'15'!U17+'16'!U17+'17'!U17+'18'!U17+'19'!U17+'20'!U17+'21'!U17+'22'!U17+'23'!U17+'24'!U17+'25'!U17+'26'!U17+'27'!U17)</f>
        <v>191020</v>
      </c>
      <c r="W17" s="3">
        <f>SUM(1!V17+2!V17+3!V17+4!V17+5!V17+6!V17+7!V17+8!V17+9!V17+'10'!V17+'11'!V17+'12'!V17+'13'!V17+'14'!V17+'15'!V17+'16'!V17+'17'!V17+'18'!V17+'19'!V17+'20'!V17+'21'!V17+'22'!V17+'23'!V17+'24'!V17+'25'!V17+'26'!V17+'27'!V17)</f>
        <v>1630696</v>
      </c>
      <c r="X17" s="3">
        <f>SUM(1!W17+2!W17+3!W17+4!W17+5!W17+6!W17+7!W17+8!W17+9!W17+'10'!W17+'11'!W17+'12'!W17+'13'!W17+'14'!W17+'15'!W17+'16'!W17+'17'!W17+'18'!W17+'19'!W17+'20'!W17+'21'!W17+'22'!W17+'23'!W17+'24'!W17+'25'!W17+'26'!W17+'27'!W17)</f>
        <v>0</v>
      </c>
      <c r="Y17" s="3">
        <f>SUM(1!X17+2!X17+3!X17+4!X17+5!X17+6!X17+7!X17+8!X17+9!X17+'10'!X17+'11'!X17+'12'!X17+'13'!X17+'14'!X17+'15'!X17+'16'!X17+'17'!X17+'18'!X17+'19'!X17+'20'!X17+'21'!X17+'22'!X17+'23'!X17+'24'!X17+'25'!X17+'26'!X17+'27'!X17)</f>
        <v>0</v>
      </c>
      <c r="Z17" s="3">
        <f>SUM(1!Y17+2!Y17+3!Y17+4!Y17+5!Y17+6!Y17+7!Y17+8!Y17+9!Y17+'10'!Y17+'11'!Y17+'12'!Y17+'13'!Y17+'14'!Y17+'15'!Y17+'16'!Y17+'17'!Y17+'18'!Y17+'19'!Y17+'20'!Y17+'21'!Y17+'22'!Y17+'23'!Y17+'24'!Y17+'25'!Y17+'26'!Y17+'27'!Y17)</f>
        <v>0</v>
      </c>
      <c r="AA17" s="3">
        <f>SUM(1!Z17+2!Z17+3!Z17+4!Z17+5!Z17+6!Z17+7!Z17+8!Z17+9!Z17+'10'!Z17+'11'!Z17+'12'!Z17+'13'!Z17+'14'!Z17+'15'!Z17+'16'!Z17+'17'!Z17+'18'!Z17+'19'!Z17+'20'!Z17+'21'!Z17+'22'!Z17+'23'!Z17+'24'!Z17+'25'!Z17+'26'!Z17+'27'!Z17)</f>
        <v>8714</v>
      </c>
      <c r="AB17" s="3">
        <f t="shared" si="3"/>
        <v>12648141</v>
      </c>
      <c r="AC17" s="4">
        <f t="shared" si="4"/>
        <v>12909220</v>
      </c>
    </row>
    <row r="18" spans="1:29" ht="30" customHeight="1">
      <c r="A18" s="56" t="s">
        <v>173</v>
      </c>
      <c r="B18" s="3">
        <f>SUM(1!B18+2!B18+3!B18+4!B18+5!B18+6!B18+7!B18+8!B18+9!B18+'10'!B18+'11'!B18+'12'!B18+'13'!B18+'14'!B18+'15'!B18+'16'!B18+'17'!B18+'18'!B18+'19'!B18+'20'!B18+'21'!B18+'22'!B18+'23'!B18+'24'!B18+'25'!B18+'26'!B18+'27'!B18)</f>
        <v>3462448</v>
      </c>
      <c r="C18" s="3">
        <f>SUM(1!C18+2!C18+3!C18+4!C18+5!C18+6!C18+7!C18+8!C18+9!C18+'10'!C18+'11'!C18+'12'!C18+'13'!C18+'14'!C18+'15'!C18+'16'!C18+'17'!C18+'18'!C18+'19'!C18+'20'!C18+'21'!C18+'22'!C18+'23'!C18+'24'!C18+'25'!C18+'26'!C18+'27'!C18)</f>
        <v>4653183</v>
      </c>
      <c r="D18" s="3">
        <f>SUM(1!D18+2!D18+3!D18+4!D18+5!D18+6!D18+7!D18+8!D18+9!D18+'10'!D18+'11'!D18+'12'!D18+'13'!D18+'14'!D18+'15'!D18+'16'!D18+'17'!D18+'18'!D18+'19'!D18+'20'!D18+'21'!D18+'22'!D18+'23'!D18+'24'!D18+'25'!D18+'26'!D18+'27'!D18)</f>
        <v>0</v>
      </c>
      <c r="E18" s="3">
        <f>SUM(1!E18+2!E18+3!E18+4!E18+5!E18+6!E18+7!E18+8!E18+9!E18+'10'!E18+'11'!E18+'12'!E18+'13'!E18+'14'!E18+'15'!E18+'16'!E18+'17'!E18+'18'!E18+'19'!E18+'20'!E18+'21'!E18+'22'!E18+'23'!E18+'24'!E18+'25'!E18+'26'!E18+'27'!E18)</f>
        <v>6193</v>
      </c>
      <c r="F18" s="3">
        <f>SUM(1!F18+2!F18+3!F18+4!F18+5!F18+6!F18+7!F18+8!F18+9!F18+'10'!F18+'11'!F18+'12'!F18+'13'!F18+'14'!F18+'15'!F18+'16'!F18+'17'!F18+'18'!F18+'19'!F18+'20'!F18+'21'!F18+'22'!F18+'23'!F18+'24'!F18+'25'!F18+'26'!F18+'27'!F18)</f>
        <v>46679</v>
      </c>
      <c r="G18" s="3">
        <f>SUM(1!G18+2!G18+3!G18+4!G18+5!G18+6!G18+7!G18+8!G18+9!G18+'10'!G18+'11'!G18+'12'!G18+'13'!G18+'14'!G18+'15'!G18+'16'!G18+'17'!G18+'18'!G18+'19'!G18+'20'!G18+'21'!G18+'22'!G18+'23'!G18+'24'!G18+'25'!G18+'26'!G18+'27'!G18)</f>
        <v>2204030</v>
      </c>
      <c r="H18" s="64">
        <f>SUM(1!H18+2!H18+3!H18+4!H18+5!H18+6!H18+7!H18+8!H18+9!H18+'10'!H18+'11'!H18+'12'!H18+'13'!H18+'14'!H18+'15'!H18+'16'!H18+'17'!H18+'18'!H18+'19'!H18+'20'!H18+'21'!H18+'22'!H18+'23'!H18+'24'!H18+'25'!H18+'26'!H18+'27'!H18)</f>
        <v>5088087</v>
      </c>
      <c r="I18" s="3">
        <f>SUM(1!I18+2!I18+3!I18+4!I18+5!I18+6!I18+7!I18+8!I18+9!I18+'10'!I18+'11'!I18+'12'!I18+'13'!I18+'14'!I18+'15'!I18+'16'!I18+'17'!I18+'18'!I18+'19'!I18+'20'!I18+'21'!I18+'22'!I18+'23'!I18+'24'!I18+'25'!I18+'26'!I18+'27'!I18)</f>
        <v>6917</v>
      </c>
      <c r="J18" s="3">
        <f t="shared" si="2"/>
        <v>15467537</v>
      </c>
      <c r="K18" s="3">
        <f>SUM(1!K18+2!K18+3!K18+4!K18+5!K18+6!K18+7!K18+8!K18+9!K18+'10'!K18+'11'!K18+'12'!K18+'13'!K18+'14'!K18+'15'!K18+'16'!K18+'17'!K18+'18'!K18+'19'!K18+'20'!K18+'21'!K18+'22'!K18+'23'!K18+'24'!K18+'25'!K18+'26'!K18+'27'!K18)</f>
        <v>0</v>
      </c>
      <c r="L18" s="3">
        <f>SUM(1!L18+2!L18+3!L18+4!L18+5!L18+6!L18+7!L18+8!L18+9!L18+'10'!L18+'11'!L18+'12'!L18+'13'!L18+'14'!L18+'15'!L18+'16'!L18+'17'!L18+'18'!L18+'19'!L18+'20'!L18+'21'!L18+'22'!L18+'23'!L18+'24'!L18+'25'!L18+'26'!L18+'27'!L18)</f>
        <v>136965</v>
      </c>
      <c r="M18" s="3">
        <f>SUM(1!M18+2!M18+3!M18+4!M18+5!M18+6!M18+7!M18+8!M18+9!M18+'10'!M18+'11'!M18+'12'!M18+'13'!M18+'14'!M18+'15'!M18+'16'!M18+'17'!M18+'18'!M18+'19'!M18+'20'!M18+'21'!M18+'22'!M18+'23'!M18+'24'!M18+'25'!M18+'26'!M18+'27'!M18)</f>
        <v>0</v>
      </c>
      <c r="N18" s="3">
        <f>SUM(1!N18+2!N18+3!N18+4!N18+5!N18+6!N18+7!N18+8!N18+9!N18+'10'!N18+'11'!N18+'12'!N18+'13'!N18+'14'!N18+'15'!N18+'16'!N18+'17'!N18+'18'!N18+'19'!N18+'20'!N18+'21'!N18+'22'!N18+'23'!N18+'24'!N18+'25'!N18+'26'!N18+'27'!N18)</f>
        <v>36960</v>
      </c>
      <c r="O18" s="56" t="s">
        <v>173</v>
      </c>
      <c r="P18" s="3">
        <f>SUM(1!O18+2!O18+3!O18+4!O18+5!O18+6!O18+7!O18+8!O18+9!O18+'10'!O18+'11'!O18+'12'!O18+'13'!O18+'14'!O18+'15'!O18+'16'!O18+'17'!O18+'18'!O18+'19'!O18+'20'!O18+'21'!O18+'22'!O18+'23'!O18+'24'!O18+'25'!O18+'26'!O18+'27'!O18)</f>
        <v>196017</v>
      </c>
      <c r="Q18" s="3">
        <f>SUM(1!P18+2!P18+3!P18+4!P18+5!P18+6!P18+7!P18+8!P18+9!P18+'10'!P18+'11'!P18+'12'!P18+'13'!P18+'14'!P18+'15'!P18+'16'!P18+'17'!P18+'18'!P18+'19'!P18+'20'!P18+'21'!P18+'22'!P18+'23'!P18+'24'!P18+'25'!P18+'26'!P18+'27'!P18)</f>
        <v>3496733</v>
      </c>
      <c r="R18" s="3">
        <f>SUM(1!Q18+2!Q18+3!Q18+4!Q18+5!Q18+6!Q18+7!Q18+8!Q18+9!Q18+'10'!Q18+'11'!Q18+'12'!Q18+'13'!Q18+'14'!Q18+'15'!Q18+'16'!Q18+'17'!Q18+'18'!Q18+'19'!Q18+'20'!Q18+'21'!Q18+'22'!Q18+'23'!Q18+'24'!Q18+'25'!Q18+'26'!Q18+'27'!Q18)</f>
        <v>0</v>
      </c>
      <c r="S18" s="3">
        <f>SUM(1!R18+2!R18+3!R18+4!R18+5!R18+6!R18+7!R18+8!R18+9!R18+'10'!R18+'11'!R18+'12'!R18+'13'!R18+'14'!R18+'15'!R18+'16'!R18+'17'!R18+'18'!R18+'19'!R18+'20'!R18+'21'!R18+'22'!R18+'23'!R18+'24'!R18+'25'!R18+'26'!R18+'27'!R18)</f>
        <v>1177730</v>
      </c>
      <c r="T18" s="3">
        <f>SUM(1!S18+2!S18+3!S18+4!S18+5!S18+6!S18+7!S18+8!S18+9!S18+'10'!S18+'11'!S18+'12'!S18+'13'!S18+'14'!S18+'15'!S18+'16'!S18+'17'!S18+'18'!S18+'19'!S18+'20'!S18+'21'!S18+'22'!S18+'23'!S18+'24'!S18+'25'!S18+'26'!S18+'27'!S18)</f>
        <v>9632</v>
      </c>
      <c r="U18" s="64">
        <f>SUM(1!T18+2!T18+3!T18+4!T18+5!T18+6!T18+7!T18+8!T18+9!T18+'10'!T18+'11'!T18+'12'!T18+'13'!T18+'14'!T18+'15'!T18+'16'!T18+'17'!T18+'18'!T18+'19'!T18+'20'!T18+'21'!T18+'22'!T18+'23'!T18+'24'!T18+'25'!T18+'26'!T18+'27'!T18)</f>
        <v>0</v>
      </c>
      <c r="V18" s="3">
        <f>SUM(1!U18+2!U18+3!U18+4!U18+5!U18+6!U18+7!U18+8!U18+9!U18+'10'!U18+'11'!U18+'12'!U18+'13'!U18+'14'!U18+'15'!U18+'16'!U18+'17'!U18+'18'!U18+'19'!U18+'20'!U18+'21'!U18+'22'!U18+'23'!U18+'24'!U18+'25'!U18+'26'!U18+'27'!U18)</f>
        <v>1054023</v>
      </c>
      <c r="W18" s="3">
        <f>SUM(1!V18+2!V18+3!V18+4!V18+5!V18+6!V18+7!V18+8!V18+9!V18+'10'!V18+'11'!V18+'12'!V18+'13'!V18+'14'!V18+'15'!V18+'16'!V18+'17'!V18+'18'!V18+'19'!V18+'20'!V18+'21'!V18+'22'!V18+'23'!V18+'24'!V18+'25'!V18+'26'!V18+'27'!V18)</f>
        <v>2117650</v>
      </c>
      <c r="X18" s="3">
        <f>SUM(1!W18+2!W18+3!W18+4!W18+5!W18+6!W18+7!W18+8!W18+9!W18+'10'!W18+'11'!W18+'12'!W18+'13'!W18+'14'!W18+'15'!W18+'16'!W18+'17'!W18+'18'!W18+'19'!W18+'20'!W18+'21'!W18+'22'!W18+'23'!W18+'24'!W18+'25'!W18+'26'!W18+'27'!W18)</f>
        <v>3627</v>
      </c>
      <c r="Y18" s="3">
        <f>SUM(1!X18+2!X18+3!X18+4!X18+5!X18+6!X18+7!X18+8!X18+9!X18+'10'!X18+'11'!X18+'12'!X18+'13'!X18+'14'!X18+'15'!X18+'16'!X18+'17'!X18+'18'!X18+'19'!X18+'20'!X18+'21'!X18+'22'!X18+'23'!X18+'24'!X18+'25'!X18+'26'!X18+'27'!X18)</f>
        <v>111894</v>
      </c>
      <c r="Z18" s="3">
        <f>SUM(1!Y18+2!Y18+3!Y18+4!Y18+5!Y18+6!Y18+7!Y18+8!Y18+9!Y18+'10'!Y18+'11'!Y18+'12'!Y18+'13'!Y18+'14'!Y18+'15'!Y18+'16'!Y18+'17'!Y18+'18'!Y18+'19'!Y18+'20'!Y18+'21'!Y18+'22'!Y18+'23'!Y18+'24'!Y18+'25'!Y18+'26'!Y18+'27'!Y18)</f>
        <v>947462</v>
      </c>
      <c r="AA18" s="3">
        <f>SUM(1!Z18+2!Z18+3!Z18+4!Z18+5!Z18+6!Z18+7!Z18+8!Z18+9!Z18+'10'!Z18+'11'!Z18+'12'!Z18+'13'!Z18+'14'!Z18+'15'!Z18+'16'!Z18+'17'!Z18+'18'!Z18+'19'!Z18+'20'!Z18+'21'!Z18+'22'!Z18+'23'!Z18+'24'!Z18+'25'!Z18+'26'!Z18+'27'!Z18)</f>
        <v>4566</v>
      </c>
      <c r="AB18" s="3">
        <f t="shared" si="3"/>
        <v>9293259</v>
      </c>
      <c r="AC18" s="4">
        <f t="shared" si="4"/>
        <v>24760796</v>
      </c>
    </row>
    <row r="19" spans="1:29" ht="30" customHeight="1">
      <c r="A19" s="56" t="s">
        <v>174</v>
      </c>
      <c r="B19" s="3">
        <f>SUM(1!B19+2!B19+3!B19+4!B19+5!B19+6!B19+7!B19+8!B19+9!B19+'10'!B19+'11'!B19+'12'!B19+'13'!B19+'14'!B19+'15'!B19+'16'!B19+'17'!B19+'18'!B19+'19'!B19+'20'!B19+'21'!B19+'22'!B19+'23'!B19+'24'!B19+'25'!B19+'26'!B19+'27'!B19)</f>
        <v>417805</v>
      </c>
      <c r="C19" s="3">
        <f>SUM(1!C19+2!C19+3!C19+4!C19+5!C19+6!C19+7!C19+8!C19+9!C19+'10'!C19+'11'!C19+'12'!C19+'13'!C19+'14'!C19+'15'!C19+'16'!C19+'17'!C19+'18'!C19+'19'!C19+'20'!C19+'21'!C19+'22'!C19+'23'!C19+'24'!C19+'25'!C19+'26'!C19+'27'!C19)</f>
        <v>364433</v>
      </c>
      <c r="D19" s="3">
        <f>SUM(1!D19+2!D19+3!D19+4!D19+5!D19+6!D19+7!D19+8!D19+9!D19+'10'!D19+'11'!D19+'12'!D19+'13'!D19+'14'!D19+'15'!D19+'16'!D19+'17'!D19+'18'!D19+'19'!D19+'20'!D19+'21'!D19+'22'!D19+'23'!D19+'24'!D19+'25'!D19+'26'!D19+'27'!D19)</f>
        <v>0</v>
      </c>
      <c r="E19" s="3">
        <f>SUM(1!E19+2!E19+3!E19+4!E19+5!E19+6!E19+7!E19+8!E19+9!E19+'10'!E19+'11'!E19+'12'!E19+'13'!E19+'14'!E19+'15'!E19+'16'!E19+'17'!E19+'18'!E19+'19'!E19+'20'!E19+'21'!E19+'22'!E19+'23'!E19+'24'!E19+'25'!E19+'26'!E19+'27'!E19)</f>
        <v>0</v>
      </c>
      <c r="F19" s="3">
        <f>SUM(1!F19+2!F19+3!F19+4!F19+5!F19+6!F19+7!F19+8!F19+9!F19+'10'!F19+'11'!F19+'12'!F19+'13'!F19+'14'!F19+'15'!F19+'16'!F19+'17'!F19+'18'!F19+'19'!F19+'20'!F19+'21'!F19+'22'!F19+'23'!F19+'24'!F19+'25'!F19+'26'!F19+'27'!F19)</f>
        <v>3488</v>
      </c>
      <c r="G19" s="3">
        <f>SUM(1!G19+2!G19+3!G19+4!G19+5!G19+6!G19+7!G19+8!G19+9!G19+'10'!G19+'11'!G19+'12'!G19+'13'!G19+'14'!G19+'15'!G19+'16'!G19+'17'!G19+'18'!G19+'19'!G19+'20'!G19+'21'!G19+'22'!G19+'23'!G19+'24'!G19+'25'!G19+'26'!G19+'27'!G19)</f>
        <v>461007</v>
      </c>
      <c r="H19" s="64">
        <f>SUM(1!H19+2!H19+3!H19+4!H19+5!H19+6!H19+7!H19+8!H19+9!H19+'10'!H19+'11'!H19+'12'!H19+'13'!H19+'14'!H19+'15'!H19+'16'!H19+'17'!H19+'18'!H19+'19'!H19+'20'!H19+'21'!H19+'22'!H19+'23'!H19+'24'!H19+'25'!H19+'26'!H19+'27'!H19)</f>
        <v>0</v>
      </c>
      <c r="I19" s="3">
        <f>SUM(1!I19+2!I19+3!I19+4!I19+5!I19+6!I19+7!I19+8!I19+9!I19+'10'!I19+'11'!I19+'12'!I19+'13'!I19+'14'!I19+'15'!I19+'16'!I19+'17'!I19+'18'!I19+'19'!I19+'20'!I19+'21'!I19+'22'!I19+'23'!I19+'24'!I19+'25'!I19+'26'!I19+'27'!I19)</f>
        <v>589</v>
      </c>
      <c r="J19" s="3">
        <f t="shared" si="2"/>
        <v>1247322</v>
      </c>
      <c r="K19" s="3">
        <f>SUM(1!K19+2!K19+3!K19+4!K19+5!K19+6!K19+7!K19+8!K19+9!K19+'10'!K19+'11'!K19+'12'!K19+'13'!K19+'14'!K19+'15'!K19+'16'!K19+'17'!K19+'18'!K19+'19'!K19+'20'!K19+'21'!K19+'22'!K19+'23'!K19+'24'!K19+'25'!K19+'26'!K19+'27'!K19)</f>
        <v>0</v>
      </c>
      <c r="L19" s="3">
        <f>SUM(1!L19+2!L19+3!L19+4!L19+5!L19+6!L19+7!L19+8!L19+9!L19+'10'!L19+'11'!L19+'12'!L19+'13'!L19+'14'!L19+'15'!L19+'16'!L19+'17'!L19+'18'!L19+'19'!L19+'20'!L19+'21'!L19+'22'!L19+'23'!L19+'24'!L19+'25'!L19+'26'!L19+'27'!L19)</f>
        <v>0</v>
      </c>
      <c r="M19" s="3">
        <f>SUM(1!M19+2!M19+3!M19+4!M19+5!M19+6!M19+7!M19+8!M19+9!M19+'10'!M19+'11'!M19+'12'!M19+'13'!M19+'14'!M19+'15'!M19+'16'!M19+'17'!M19+'18'!M19+'19'!M19+'20'!M19+'21'!M19+'22'!M19+'23'!M19+'24'!M19+'25'!M19+'26'!M19+'27'!M19)</f>
        <v>0</v>
      </c>
      <c r="N19" s="3">
        <f>SUM(1!N19+2!N19+3!N19+4!N19+5!N19+6!N19+7!N19+8!N19+9!N19+'10'!N19+'11'!N19+'12'!N19+'13'!N19+'14'!N19+'15'!N19+'16'!N19+'17'!N19+'18'!N19+'19'!N19+'20'!N19+'21'!N19+'22'!N19+'23'!N19+'24'!N19+'25'!N19+'26'!N19+'27'!N19)</f>
        <v>0</v>
      </c>
      <c r="O19" s="56" t="s">
        <v>174</v>
      </c>
      <c r="P19" s="3">
        <f>SUM(1!O19+2!O19+3!O19+4!O19+5!O19+6!O19+7!O19+8!O19+9!O19+'10'!O19+'11'!O19+'12'!O19+'13'!O19+'14'!O19+'15'!O19+'16'!O19+'17'!O19+'18'!O19+'19'!O19+'20'!O19+'21'!O19+'22'!O19+'23'!O19+'24'!O19+'25'!O19+'26'!O19+'27'!O19)</f>
        <v>0</v>
      </c>
      <c r="Q19" s="3">
        <f>SUM(1!P19+2!P19+3!P19+4!P19+5!P19+6!P19+7!P19+8!P19+9!P19+'10'!P19+'11'!P19+'12'!P19+'13'!P19+'14'!P19+'15'!P19+'16'!P19+'17'!P19+'18'!P19+'19'!P19+'20'!P19+'21'!P19+'22'!P19+'23'!P19+'24'!P19+'25'!P19+'26'!P19+'27'!P19)</f>
        <v>187797</v>
      </c>
      <c r="R19" s="3">
        <f>SUM(1!Q19+2!Q19+3!Q19+4!Q19+5!Q19+6!Q19+7!Q19+8!Q19+9!Q19+'10'!Q19+'11'!Q19+'12'!Q19+'13'!Q19+'14'!Q19+'15'!Q19+'16'!Q19+'17'!Q19+'18'!Q19+'19'!Q19+'20'!Q19+'21'!Q19+'22'!Q19+'23'!Q19+'24'!Q19+'25'!Q19+'26'!Q19+'27'!Q19)</f>
        <v>0</v>
      </c>
      <c r="S19" s="3">
        <f>SUM(1!R19+2!R19+3!R19+4!R19+5!R19+6!R19+7!R19+8!R19+9!R19+'10'!R19+'11'!R19+'12'!R19+'13'!R19+'14'!R19+'15'!R19+'16'!R19+'17'!R19+'18'!R19+'19'!R19+'20'!R19+'21'!R19+'22'!R19+'23'!R19+'24'!R19+'25'!R19+'26'!R19+'27'!R19)</f>
        <v>0</v>
      </c>
      <c r="T19" s="3">
        <f>SUM(1!S19+2!S19+3!S19+4!S19+5!S19+6!S19+7!S19+8!S19+9!S19+'10'!S19+'11'!S19+'12'!S19+'13'!S19+'14'!S19+'15'!S19+'16'!S19+'17'!S19+'18'!S19+'19'!S19+'20'!S19+'21'!S19+'22'!S19+'23'!S19+'24'!S19+'25'!S19+'26'!S19+'27'!S19)</f>
        <v>0</v>
      </c>
      <c r="U19" s="64">
        <f>SUM(1!T19+2!T19+3!T19+4!T19+5!T19+6!T19+7!T19+8!T19+9!T19+'10'!T19+'11'!T19+'12'!T19+'13'!T19+'14'!T19+'15'!T19+'16'!T19+'17'!T19+'18'!T19+'19'!T19+'20'!T19+'21'!T19+'22'!T19+'23'!T19+'24'!T19+'25'!T19+'26'!T19+'27'!T19)</f>
        <v>0</v>
      </c>
      <c r="V19" s="3">
        <f>SUM(1!U19+2!U19+3!U19+4!U19+5!U19+6!U19+7!U19+8!U19+9!U19+'10'!U19+'11'!U19+'12'!U19+'13'!U19+'14'!U19+'15'!U19+'16'!U19+'17'!U19+'18'!U19+'19'!U19+'20'!U19+'21'!U19+'22'!U19+'23'!U19+'24'!U19+'25'!U19+'26'!U19+'27'!U19)</f>
        <v>0</v>
      </c>
      <c r="W19" s="3">
        <f>SUM(1!V19+2!V19+3!V19+4!V19+5!V19+6!V19+7!V19+8!V19+9!V19+'10'!V19+'11'!V19+'12'!V19+'13'!V19+'14'!V19+'15'!V19+'16'!V19+'17'!V19+'18'!V19+'19'!V19+'20'!V19+'21'!V19+'22'!V19+'23'!V19+'24'!V19+'25'!V19+'26'!V19+'27'!V19)</f>
        <v>0</v>
      </c>
      <c r="X19" s="3">
        <f>SUM(1!W19+2!W19+3!W19+4!W19+5!W19+6!W19+7!W19+8!W19+9!W19+'10'!W19+'11'!W19+'12'!W19+'13'!W19+'14'!W19+'15'!W19+'16'!W19+'17'!W19+'18'!W19+'19'!W19+'20'!W19+'21'!W19+'22'!W19+'23'!W19+'24'!W19+'25'!W19+'26'!W19+'27'!W19)</f>
        <v>1279</v>
      </c>
      <c r="Y19" s="3">
        <f>SUM(1!X19+2!X19+3!X19+4!X19+5!X19+6!X19+7!X19+8!X19+9!X19+'10'!X19+'11'!X19+'12'!X19+'13'!X19+'14'!X19+'15'!X19+'16'!X19+'17'!X19+'18'!X19+'19'!X19+'20'!X19+'21'!X19+'22'!X19+'23'!X19+'24'!X19+'25'!X19+'26'!X19+'27'!X19)</f>
        <v>7946</v>
      </c>
      <c r="Z19" s="3">
        <f>SUM(1!Y19+2!Y19+3!Y19+4!Y19+5!Y19+6!Y19+7!Y19+8!Y19+9!Y19+'10'!Y19+'11'!Y19+'12'!Y19+'13'!Y19+'14'!Y19+'15'!Y19+'16'!Y19+'17'!Y19+'18'!Y19+'19'!Y19+'20'!Y19+'21'!Y19+'22'!Y19+'23'!Y19+'24'!Y19+'25'!Y19+'26'!Y19+'27'!Y19)</f>
        <v>3599</v>
      </c>
      <c r="AA19" s="3">
        <f>SUM(1!Z19+2!Z19+3!Z19+4!Z19+5!Z19+6!Z19+7!Z19+8!Z19+9!Z19+'10'!Z19+'11'!Z19+'12'!Z19+'13'!Z19+'14'!Z19+'15'!Z19+'16'!Z19+'17'!Z19+'18'!Z19+'19'!Z19+'20'!Z19+'21'!Z19+'22'!Z19+'23'!Z19+'24'!Z19+'25'!Z19+'26'!Z19+'27'!Z19)</f>
        <v>0</v>
      </c>
      <c r="AB19" s="3">
        <f t="shared" si="3"/>
        <v>200621</v>
      </c>
      <c r="AC19" s="4">
        <f t="shared" si="4"/>
        <v>1447943</v>
      </c>
    </row>
    <row r="20" spans="1:29" ht="30" customHeight="1">
      <c r="A20" s="55" t="s">
        <v>69</v>
      </c>
      <c r="B20" s="3">
        <f>SUM(1!B20+2!B20+3!B20+4!B20+5!B20+6!B20+7!B20+8!B20+9!B20+'10'!B20+'11'!B20+'12'!B20+'13'!B20+'14'!B20+'15'!B20+'16'!B20+'17'!B20+'18'!B20+'19'!B20+'20'!B20+'21'!B20+'22'!B20+'23'!B20+'24'!B20+'25'!B20+'26'!B20+'27'!B20)</f>
        <v>9260862</v>
      </c>
      <c r="C20" s="3">
        <f>SUM(1!C20+2!C20+3!C20+4!C20+5!C20+6!C20+7!C20+8!C20+9!C20+'10'!C20+'11'!C20+'12'!C20+'13'!C20+'14'!C20+'15'!C20+'16'!C20+'17'!C20+'18'!C20+'19'!C20+'20'!C20+'21'!C20+'22'!C20+'23'!C20+'24'!C20+'25'!C20+'26'!C20+'27'!C20)</f>
        <v>9329052</v>
      </c>
      <c r="D20" s="3">
        <f>SUM(1!D20+2!D20+3!D20+4!D20+5!D20+6!D20+7!D20+8!D20+9!D20+'10'!D20+'11'!D20+'12'!D20+'13'!D20+'14'!D20+'15'!D20+'16'!D20+'17'!D20+'18'!D20+'19'!D20+'20'!D20+'21'!D20+'22'!D20+'23'!D20+'24'!D20+'25'!D20+'26'!D20+'27'!D20)</f>
        <v>0</v>
      </c>
      <c r="E20" s="3">
        <f>SUM(1!E20+2!E20+3!E20+4!E20+5!E20+6!E20+7!E20+8!E20+9!E20+'10'!E20+'11'!E20+'12'!E20+'13'!E20+'14'!E20+'15'!E20+'16'!E20+'17'!E20+'18'!E20+'19'!E20+'20'!E20+'21'!E20+'22'!E20+'23'!E20+'24'!E20+'25'!E20+'26'!E20+'27'!E20)</f>
        <v>27372</v>
      </c>
      <c r="F20" s="3">
        <f>SUM(1!F20+2!F20+3!F20+4!F20+5!F20+6!F20+7!F20+8!F20+9!F20+'10'!F20+'11'!F20+'12'!F20+'13'!F20+'14'!F20+'15'!F20+'16'!F20+'17'!F20+'18'!F20+'19'!F20+'20'!F20+'21'!F20+'22'!F20+'23'!F20+'24'!F20+'25'!F20+'26'!F20+'27'!F20)</f>
        <v>318735</v>
      </c>
      <c r="G20" s="3">
        <f>SUM(1!G20+2!G20+3!G20+4!G20+5!G20+6!G20+7!G20+8!G20+9!G20+'10'!G20+'11'!G20+'12'!G20+'13'!G20+'14'!G20+'15'!G20+'16'!G20+'17'!G20+'18'!G20+'19'!G20+'20'!G20+'21'!G20+'22'!G20+'23'!G20+'24'!G20+'25'!G20+'26'!G20+'27'!G20)</f>
        <v>3858629</v>
      </c>
      <c r="H20" s="64">
        <f>SUM(1!H20+2!H20+3!H20+4!H20+5!H20+6!H20+7!H20+8!H20+9!H20+'10'!H20+'11'!H20+'12'!H20+'13'!H20+'14'!H20+'15'!H20+'16'!H20+'17'!H20+'18'!H20+'19'!H20+'20'!H20+'21'!H20+'22'!H20+'23'!H20+'24'!H20+'25'!H20+'26'!H20+'27'!H20)</f>
        <v>19560824</v>
      </c>
      <c r="I20" s="3">
        <f>SUM(1!I20+2!I20+3!I20+4!I20+5!I20+6!I20+7!I20+8!I20+9!I20+'10'!I20+'11'!I20+'12'!I20+'13'!I20+'14'!I20+'15'!I20+'16'!I20+'17'!I20+'18'!I20+'19'!I20+'20'!I20+'21'!I20+'22'!I20+'23'!I20+'24'!I20+'25'!I20+'26'!I20+'27'!I20)</f>
        <v>20546</v>
      </c>
      <c r="J20" s="3">
        <f t="shared" si="2"/>
        <v>42376020</v>
      </c>
      <c r="K20" s="3">
        <f>SUM(1!K20+2!K20+3!K20+4!K20+5!K20+6!K20+7!K20+8!K20+9!K20+'10'!K20+'11'!K20+'12'!K20+'13'!K20+'14'!K20+'15'!K20+'16'!K20+'17'!K20+'18'!K20+'19'!K20+'20'!K20+'21'!K20+'22'!K20+'23'!K20+'24'!K20+'25'!K20+'26'!K20+'27'!K20)</f>
        <v>452000</v>
      </c>
      <c r="L20" s="3">
        <f>SUM(1!L20+2!L20+3!L20+4!L20+5!L20+6!L20+7!L20+8!L20+9!L20+'10'!L20+'11'!L20+'12'!L20+'13'!L20+'14'!L20+'15'!L20+'16'!L20+'17'!L20+'18'!L20+'19'!L20+'20'!L20+'21'!L20+'22'!L20+'23'!L20+'24'!L20+'25'!L20+'26'!L20+'27'!L20)</f>
        <v>18607</v>
      </c>
      <c r="M20" s="3">
        <f>SUM(1!M20+2!M20+3!M20+4!M20+5!M20+6!M20+7!M20+8!M20+9!M20+'10'!M20+'11'!M20+'12'!M20+'13'!M20+'14'!M20+'15'!M20+'16'!M20+'17'!M20+'18'!M20+'19'!M20+'20'!M20+'21'!M20+'22'!M20+'23'!M20+'24'!M20+'25'!M20+'26'!M20+'27'!M20)</f>
        <v>0</v>
      </c>
      <c r="N20" s="3">
        <f>SUM(1!N20+2!N20+3!N20+4!N20+5!N20+6!N20+7!N20+8!N20+9!N20+'10'!N20+'11'!N20+'12'!N20+'13'!N20+'14'!N20+'15'!N20+'16'!N20+'17'!N20+'18'!N20+'19'!N20+'20'!N20+'21'!N20+'22'!N20+'23'!N20+'24'!N20+'25'!N20+'26'!N20+'27'!N20)</f>
        <v>19426</v>
      </c>
      <c r="O20" s="55" t="s">
        <v>69</v>
      </c>
      <c r="P20" s="3">
        <f>SUM(1!O20+2!O20+3!O20+4!O20+5!O20+6!O20+7!O20+8!O20+9!O20+'10'!O20+'11'!O20+'12'!O20+'13'!O20+'14'!O20+'15'!O20+'16'!O20+'17'!O20+'18'!O20+'19'!O20+'20'!O20+'21'!O20+'22'!O20+'23'!O20+'24'!O20+'25'!O20+'26'!O20+'27'!O20)</f>
        <v>3424544</v>
      </c>
      <c r="Q20" s="3">
        <f>SUM(1!P20+2!P20+3!P20+4!P20+5!P20+6!P20+7!P20+8!P20+9!P20+'10'!P20+'11'!P20+'12'!P20+'13'!P20+'14'!P20+'15'!P20+'16'!P20+'17'!P20+'18'!P20+'19'!P20+'20'!P20+'21'!P20+'22'!P20+'23'!P20+'24'!P20+'25'!P20+'26'!P20+'27'!P20)</f>
        <v>5417509</v>
      </c>
      <c r="R20" s="3">
        <f>SUM(1!Q20+2!Q20+3!Q20+4!Q20+5!Q20+6!Q20+7!Q20+8!Q20+9!Q20+'10'!Q20+'11'!Q20+'12'!Q20+'13'!Q20+'14'!Q20+'15'!Q20+'16'!Q20+'17'!Q20+'18'!Q20+'19'!Q20+'20'!Q20+'21'!Q20+'22'!Q20+'23'!Q20+'24'!Q20+'25'!Q20+'26'!Q20+'27'!Q20)</f>
        <v>0</v>
      </c>
      <c r="S20" s="3">
        <f>SUM(1!R20+2!R20+3!R20+4!R20+5!R20+6!R20+7!R20+8!R20+9!R20+'10'!R20+'11'!R20+'12'!R20+'13'!R20+'14'!R20+'15'!R20+'16'!R20+'17'!R20+'18'!R20+'19'!R20+'20'!R20+'21'!R20+'22'!R20+'23'!R20+'24'!R20+'25'!R20+'26'!R20+'27'!R20)</f>
        <v>3916406</v>
      </c>
      <c r="T20" s="3">
        <f>SUM(1!S20+2!S20+3!S20+4!S20+5!S20+6!S20+7!S20+8!S20+9!S20+'10'!S20+'11'!S20+'12'!S20+'13'!S20+'14'!S20+'15'!S20+'16'!S20+'17'!S20+'18'!S20+'19'!S20+'20'!S20+'21'!S20+'22'!S20+'23'!S20+'24'!S20+'25'!S20+'26'!S20+'27'!S20)</f>
        <v>178</v>
      </c>
      <c r="U20" s="64">
        <f>SUM(1!T20+2!T20+3!T20+4!T20+5!T20+6!T20+7!T20+8!T20+9!T20+'10'!T20+'11'!T20+'12'!T20+'13'!T20+'14'!T20+'15'!T20+'16'!T20+'17'!T20+'18'!T20+'19'!T20+'20'!T20+'21'!T20+'22'!T20+'23'!T20+'24'!T20+'25'!T20+'26'!T20+'27'!T20)</f>
        <v>0</v>
      </c>
      <c r="V20" s="3">
        <f>SUM(1!U20+2!U20+3!U20+4!U20+5!U20+6!U20+7!U20+8!U20+9!U20+'10'!U20+'11'!U20+'12'!U20+'13'!U20+'14'!U20+'15'!U20+'16'!U20+'17'!U20+'18'!U20+'19'!U20+'20'!U20+'21'!U20+'22'!U20+'23'!U20+'24'!U20+'25'!U20+'26'!U20+'27'!U20)</f>
        <v>2149707</v>
      </c>
      <c r="W20" s="3">
        <f>SUM(1!V20+2!V20+3!V20+4!V20+5!V20+6!V20+7!V20+8!V20+9!V20+'10'!V20+'11'!V20+'12'!V20+'13'!V20+'14'!V20+'15'!V20+'16'!V20+'17'!V20+'18'!V20+'19'!V20+'20'!V20+'21'!V20+'22'!V20+'23'!V20+'24'!V20+'25'!V20+'26'!V20+'27'!V20)</f>
        <v>6187393</v>
      </c>
      <c r="X20" s="3">
        <f>SUM(1!W20+2!W20+3!W20+4!W20+5!W20+6!W20+7!W20+8!W20+9!W20+'10'!W20+'11'!W20+'12'!W20+'13'!W20+'14'!W20+'15'!W20+'16'!W20+'17'!W20+'18'!W20+'19'!W20+'20'!W20+'21'!W20+'22'!W20+'23'!W20+'24'!W20+'25'!W20+'26'!W20+'27'!W20)</f>
        <v>55011</v>
      </c>
      <c r="Y20" s="3">
        <f>SUM(1!X20+2!X20+3!X20+4!X20+5!X20+6!X20+7!X20+8!X20+9!X20+'10'!X20+'11'!X20+'12'!X20+'13'!X20+'14'!X20+'15'!X20+'16'!X20+'17'!X20+'18'!X20+'19'!X20+'20'!X20+'21'!X20+'22'!X20+'23'!X20+'24'!X20+'25'!X20+'26'!X20+'27'!X20)</f>
        <v>187902</v>
      </c>
      <c r="Z20" s="3">
        <f>SUM(1!Y20+2!Y20+3!Y20+4!Y20+5!Y20+6!Y20+7!Y20+8!Y20+9!Y20+'10'!Y20+'11'!Y20+'12'!Y20+'13'!Y20+'14'!Y20+'15'!Y20+'16'!Y20+'17'!Y20+'18'!Y20+'19'!Y20+'20'!Y20+'21'!Y20+'22'!Y20+'23'!Y20+'24'!Y20+'25'!Y20+'26'!Y20+'27'!Y20)</f>
        <v>2094186</v>
      </c>
      <c r="AA20" s="3">
        <f>SUM(1!Z20+2!Z20+3!Z20+4!Z20+5!Z20+6!Z20+7!Z20+8!Z20+9!Z20+'10'!Z20+'11'!Z20+'12'!Z20+'13'!Z20+'14'!Z20+'15'!Z20+'16'!Z20+'17'!Z20+'18'!Z20+'19'!Z20+'20'!Z20+'21'!Z20+'22'!Z20+'23'!Z20+'24'!Z20+'25'!Z20+'26'!Z20+'27'!Z20)</f>
        <v>10272987</v>
      </c>
      <c r="AB20" s="3">
        <f t="shared" si="3"/>
        <v>34195856</v>
      </c>
      <c r="AC20" s="4">
        <f t="shared" si="4"/>
        <v>76571876</v>
      </c>
    </row>
    <row r="21" spans="1:29" ht="30" customHeight="1">
      <c r="A21" s="56" t="s">
        <v>175</v>
      </c>
      <c r="B21" s="3">
        <f>SUM(1!B21+2!B21+3!B21+4!B21+5!B21+6!B21+7!B21+8!B21+9!B21+'10'!B21+'11'!B21+'12'!B21+'13'!B21+'14'!B21+'15'!B21+'16'!B21+'17'!B21+'18'!B21+'19'!B21+'20'!B21+'21'!B21+'22'!B21+'23'!B21+'24'!B21+'25'!B21+'26'!B21+'27'!B21)</f>
        <v>1611865</v>
      </c>
      <c r="C21" s="3">
        <f>SUM(1!C21+2!C21+3!C21+4!C21+5!C21+6!C21+7!C21+8!C21+9!C21+'10'!C21+'11'!C21+'12'!C21+'13'!C21+'14'!C21+'15'!C21+'16'!C21+'17'!C21+'18'!C21+'19'!C21+'20'!C21+'21'!C21+'22'!C21+'23'!C21+'24'!C21+'25'!C21+'26'!C21+'27'!C21)</f>
        <v>5756184</v>
      </c>
      <c r="D21" s="3">
        <f>SUM(1!D21+2!D21+3!D21+4!D21+5!D21+6!D21+7!D21+8!D21+9!D21+'10'!D21+'11'!D21+'12'!D21+'13'!D21+'14'!D21+'15'!D21+'16'!D21+'17'!D21+'18'!D21+'19'!D21+'20'!D21+'21'!D21+'22'!D21+'23'!D21+'24'!D21+'25'!D21+'26'!D21+'27'!D21)</f>
        <v>0</v>
      </c>
      <c r="E21" s="3">
        <f>SUM(1!E21+2!E21+3!E21+4!E21+5!E21+6!E21+7!E21+8!E21+9!E21+'10'!E21+'11'!E21+'12'!E21+'13'!E21+'14'!E21+'15'!E21+'16'!E21+'17'!E21+'18'!E21+'19'!E21+'20'!E21+'21'!E21+'22'!E21+'23'!E21+'24'!E21+'25'!E21+'26'!E21+'27'!E21)</f>
        <v>0</v>
      </c>
      <c r="F21" s="3">
        <f>SUM(1!F21+2!F21+3!F21+4!F21+5!F21+6!F21+7!F21+8!F21+9!F21+'10'!F21+'11'!F21+'12'!F21+'13'!F21+'14'!F21+'15'!F21+'16'!F21+'17'!F21+'18'!F21+'19'!F21+'20'!F21+'21'!F21+'22'!F21+'23'!F21+'24'!F21+'25'!F21+'26'!F21+'27'!F21)</f>
        <v>5669415</v>
      </c>
      <c r="G21" s="3">
        <f>SUM(1!G21+2!G21+3!G21+4!G21+5!G21+6!G21+7!G21+8!G21+9!G21+'10'!G21+'11'!G21+'12'!G21+'13'!G21+'14'!G21+'15'!G21+'16'!G21+'17'!G21+'18'!G21+'19'!G21+'20'!G21+'21'!G21+'22'!G21+'23'!G21+'24'!G21+'25'!G21+'26'!G21+'27'!G21)</f>
        <v>16898690</v>
      </c>
      <c r="H21" s="64">
        <f>SUM(1!H21+2!H21+3!H21+4!H21+5!H21+6!H21+7!H21+8!H21+9!H21+'10'!H21+'11'!H21+'12'!H21+'13'!H21+'14'!H21+'15'!H21+'16'!H21+'17'!H21+'18'!H21+'19'!H21+'20'!H21+'21'!H21+'22'!H21+'23'!H21+'24'!H21+'25'!H21+'26'!H21+'27'!H21)</f>
        <v>6208720</v>
      </c>
      <c r="I21" s="3">
        <f>SUM(1!I21+2!I21+3!I21+4!I21+5!I21+6!I21+7!I21+8!I21+9!I21+'10'!I21+'11'!I21+'12'!I21+'13'!I21+'14'!I21+'15'!I21+'16'!I21+'17'!I21+'18'!I21+'19'!I21+'20'!I21+'21'!I21+'22'!I21+'23'!I21+'24'!I21+'25'!I21+'26'!I21+'27'!I21)</f>
        <v>19101</v>
      </c>
      <c r="J21" s="3">
        <f t="shared" si="2"/>
        <v>36163975</v>
      </c>
      <c r="K21" s="3">
        <f>SUM(1!K21+2!K21+3!K21+4!K21+5!K21+6!K21+7!K21+8!K21+9!K21+'10'!K21+'11'!K21+'12'!K21+'13'!K21+'14'!K21+'15'!K21+'16'!K21+'17'!K21+'18'!K21+'19'!K21+'20'!K21+'21'!K21+'22'!K21+'23'!K21+'24'!K21+'25'!K21+'26'!K21+'27'!K21)</f>
        <v>0</v>
      </c>
      <c r="L21" s="3">
        <f>SUM(1!L21+2!L21+3!L21+4!L21+5!L21+6!L21+7!L21+8!L21+9!L21+'10'!L21+'11'!L21+'12'!L21+'13'!L21+'14'!L21+'15'!L21+'16'!L21+'17'!L21+'18'!L21+'19'!L21+'20'!L21+'21'!L21+'22'!L21+'23'!L21+'24'!L21+'25'!L21+'26'!L21+'27'!L21)</f>
        <v>45186</v>
      </c>
      <c r="M21" s="3">
        <f>SUM(1!M21+2!M21+3!M21+4!M21+5!M21+6!M21+7!M21+8!M21+9!M21+'10'!M21+'11'!M21+'12'!M21+'13'!M21+'14'!M21+'15'!M21+'16'!M21+'17'!M21+'18'!M21+'19'!M21+'20'!M21+'21'!M21+'22'!M21+'23'!M21+'24'!M21+'25'!M21+'26'!M21+'27'!M21)</f>
        <v>0</v>
      </c>
      <c r="N21" s="3">
        <f>SUM(1!N21+2!N21+3!N21+4!N21+5!N21+6!N21+7!N21+8!N21+9!N21+'10'!N21+'11'!N21+'12'!N21+'13'!N21+'14'!N21+'15'!N21+'16'!N21+'17'!N21+'18'!N21+'19'!N21+'20'!N21+'21'!N21+'22'!N21+'23'!N21+'24'!N21+'25'!N21+'26'!N21+'27'!N21)</f>
        <v>0</v>
      </c>
      <c r="O21" s="56" t="s">
        <v>175</v>
      </c>
      <c r="P21" s="3">
        <f>SUM(1!O21+2!O21+3!O21+4!O21+5!O21+6!O21+7!O21+8!O21+9!O21+'10'!O21+'11'!O21+'12'!O21+'13'!O21+'14'!O21+'15'!O21+'16'!O21+'17'!O21+'18'!O21+'19'!O21+'20'!O21+'21'!O21+'22'!O21+'23'!O21+'24'!O21+'25'!O21+'26'!O21+'27'!O21)</f>
        <v>931639</v>
      </c>
      <c r="Q21" s="3">
        <f>SUM(1!P21+2!P21+3!P21+4!P21+5!P21+6!P21+7!P21+8!P21+9!P21+'10'!P21+'11'!P21+'12'!P21+'13'!P21+'14'!P21+'15'!P21+'16'!P21+'17'!P21+'18'!P21+'19'!P21+'20'!P21+'21'!P21+'22'!P21+'23'!P21+'24'!P21+'25'!P21+'26'!P21+'27'!P21)</f>
        <v>7882395</v>
      </c>
      <c r="R21" s="3">
        <f>SUM(1!Q21+2!Q21+3!Q21+4!Q21+5!Q21+6!Q21+7!Q21+8!Q21+9!Q21+'10'!Q21+'11'!Q21+'12'!Q21+'13'!Q21+'14'!Q21+'15'!Q21+'16'!Q21+'17'!Q21+'18'!Q21+'19'!Q21+'20'!Q21+'21'!Q21+'22'!Q21+'23'!Q21+'24'!Q21+'25'!Q21+'26'!Q21+'27'!Q21)</f>
        <v>0</v>
      </c>
      <c r="S21" s="3">
        <f>SUM(1!R21+2!R21+3!R21+4!R21+5!R21+6!R21+7!R21+8!R21+9!R21+'10'!R21+'11'!R21+'12'!R21+'13'!R21+'14'!R21+'15'!R21+'16'!R21+'17'!R21+'18'!R21+'19'!R21+'20'!R21+'21'!R21+'22'!R21+'23'!R21+'24'!R21+'25'!R21+'26'!R21+'27'!R21)</f>
        <v>0</v>
      </c>
      <c r="T21" s="3">
        <f>SUM(1!S21+2!S21+3!S21+4!S21+5!S21+6!S21+7!S21+8!S21+9!S21+'10'!S21+'11'!S21+'12'!S21+'13'!S21+'14'!S21+'15'!S21+'16'!S21+'17'!S21+'18'!S21+'19'!S21+'20'!S21+'21'!S21+'22'!S21+'23'!S21+'24'!S21+'25'!S21+'26'!S21+'27'!S21)</f>
        <v>0</v>
      </c>
      <c r="U21" s="64">
        <f>SUM(1!T21+2!T21+3!T21+4!T21+5!T21+6!T21+7!T21+8!T21+9!T21+'10'!T21+'11'!T21+'12'!T21+'13'!T21+'14'!T21+'15'!T21+'16'!T21+'17'!T21+'18'!T21+'19'!T21+'20'!T21+'21'!T21+'22'!T21+'23'!T21+'24'!T21+'25'!T21+'26'!T21+'27'!T21)</f>
        <v>0</v>
      </c>
      <c r="V21" s="3">
        <f>SUM(1!U21+2!U21+3!U21+4!U21+5!U21+6!U21+7!U21+8!U21+9!U21+'10'!U21+'11'!U21+'12'!U21+'13'!U21+'14'!U21+'15'!U21+'16'!U21+'17'!U21+'18'!U21+'19'!U21+'20'!U21+'21'!U21+'22'!U21+'23'!U21+'24'!U21+'25'!U21+'26'!U21+'27'!U21)</f>
        <v>96926</v>
      </c>
      <c r="W21" s="3">
        <f>SUM(1!V21+2!V21+3!V21+4!V21+5!V21+6!V21+7!V21+8!V21+9!V21+'10'!V21+'11'!V21+'12'!V21+'13'!V21+'14'!V21+'15'!V21+'16'!V21+'17'!V21+'18'!V21+'19'!V21+'20'!V21+'21'!V21+'22'!V21+'23'!V21+'24'!V21+'25'!V21+'26'!V21+'27'!V21)</f>
        <v>421704</v>
      </c>
      <c r="X21" s="3">
        <f>SUM(1!W21+2!W21+3!W21+4!W21+5!W21+6!W21+7!W21+8!W21+9!W21+'10'!W21+'11'!W21+'12'!W21+'13'!W21+'14'!W21+'15'!W21+'16'!W21+'17'!W21+'18'!W21+'19'!W21+'20'!W21+'21'!W21+'22'!W21+'23'!W21+'24'!W21+'25'!W21+'26'!W21+'27'!W21)</f>
        <v>36</v>
      </c>
      <c r="Y21" s="3">
        <f>SUM(1!X21+2!X21+3!X21+4!X21+5!X21+6!X21+7!X21+8!X21+9!X21+'10'!X21+'11'!X21+'12'!X21+'13'!X21+'14'!X21+'15'!X21+'16'!X21+'17'!X21+'18'!X21+'19'!X21+'20'!X21+'21'!X21+'22'!X21+'23'!X21+'24'!X21+'25'!X21+'26'!X21+'27'!X21)</f>
        <v>49067</v>
      </c>
      <c r="Z21" s="3">
        <f>SUM(1!Y21+2!Y21+3!Y21+4!Y21+5!Y21+6!Y21+7!Y21+8!Y21+9!Y21+'10'!Y21+'11'!Y21+'12'!Y21+'13'!Y21+'14'!Y21+'15'!Y21+'16'!Y21+'17'!Y21+'18'!Y21+'19'!Y21+'20'!Y21+'21'!Y21+'22'!Y21+'23'!Y21+'24'!Y21+'25'!Y21+'26'!Y21+'27'!Y21)</f>
        <v>419104</v>
      </c>
      <c r="AA21" s="3">
        <f>SUM(1!Z21+2!Z21+3!Z21+4!Z21+5!Z21+6!Z21+7!Z21+8!Z21+9!Z21+'10'!Z21+'11'!Z21+'12'!Z21+'13'!Z21+'14'!Z21+'15'!Z21+'16'!Z21+'17'!Z21+'18'!Z21+'19'!Z21+'20'!Z21+'21'!Z21+'22'!Z21+'23'!Z21+'24'!Z21+'25'!Z21+'26'!Z21+'27'!Z21)</f>
        <v>0</v>
      </c>
      <c r="AB21" s="3">
        <f t="shared" si="3"/>
        <v>9846057</v>
      </c>
      <c r="AC21" s="4">
        <f t="shared" si="4"/>
        <v>46010032</v>
      </c>
    </row>
    <row r="22" spans="1:29" ht="30" customHeight="1">
      <c r="A22" s="55" t="s">
        <v>71</v>
      </c>
      <c r="B22" s="3">
        <f>SUM(1!B22+2!B22+3!B22+4!B22+5!B22+6!B22+7!B22+8!B22+9!B22+'10'!B22+'11'!B22+'12'!B22+'13'!B22+'14'!B22+'15'!B22+'16'!B22+'17'!B22+'18'!B22+'19'!B22+'20'!B22+'21'!B22+'22'!B22+'23'!B22+'24'!B22+'25'!B22+'26'!B22+'27'!B22)</f>
        <v>6526531</v>
      </c>
      <c r="C22" s="3">
        <f>SUM(1!C22+2!C22+3!C22+4!C22+5!C22+6!C22+7!C22+8!C22+9!C22+'10'!C22+'11'!C22+'12'!C22+'13'!C22+'14'!C22+'15'!C22+'16'!C22+'17'!C22+'18'!C22+'19'!C22+'20'!C22+'21'!C22+'22'!C22+'23'!C22+'24'!C22+'25'!C22+'26'!C22+'27'!C22)</f>
        <v>1875743</v>
      </c>
      <c r="D22" s="3">
        <f>SUM(1!D22+2!D22+3!D22+4!D22+5!D22+6!D22+7!D22+8!D22+9!D22+'10'!D22+'11'!D22+'12'!D22+'13'!D22+'14'!D22+'15'!D22+'16'!D22+'17'!D22+'18'!D22+'19'!D22+'20'!D22+'21'!D22+'22'!D22+'23'!D22+'24'!D22+'25'!D22+'26'!D22+'27'!D22)</f>
        <v>0</v>
      </c>
      <c r="E22" s="3">
        <f>SUM(1!E22+2!E22+3!E22+4!E22+5!E22+6!E22+7!E22+8!E22+9!E22+'10'!E22+'11'!E22+'12'!E22+'13'!E22+'14'!E22+'15'!E22+'16'!E22+'17'!E22+'18'!E22+'19'!E22+'20'!E22+'21'!E22+'22'!E22+'23'!E22+'24'!E22+'25'!E22+'26'!E22+'27'!E22)</f>
        <v>7961</v>
      </c>
      <c r="F22" s="3">
        <f>SUM(1!F22+2!F22+3!F22+4!F22+5!F22+6!F22+7!F22+8!F22+9!F22+'10'!F22+'11'!F22+'12'!F22+'13'!F22+'14'!F22+'15'!F22+'16'!F22+'17'!F22+'18'!F22+'19'!F22+'20'!F22+'21'!F22+'22'!F22+'23'!F22+'24'!F22+'25'!F22+'26'!F22+'27'!F22)</f>
        <v>1031384</v>
      </c>
      <c r="G22" s="3">
        <f>SUM(1!G22+2!G22+3!G22+4!G22+5!G22+6!G22+7!G22+8!G22+9!G22+'10'!G22+'11'!G22+'12'!G22+'13'!G22+'14'!G22+'15'!G22+'16'!G22+'17'!G22+'18'!G22+'19'!G22+'20'!G22+'21'!G22+'22'!G22+'23'!G22+'24'!G22+'25'!G22+'26'!G22+'27'!G22)</f>
        <v>38771</v>
      </c>
      <c r="H22" s="64">
        <f>SUM(1!H22+2!H22+3!H22+4!H22+5!H22+6!H22+7!H22+8!H22+9!H22+'10'!H22+'11'!H22+'12'!H22+'13'!H22+'14'!H22+'15'!H22+'16'!H22+'17'!H22+'18'!H22+'19'!H22+'20'!H22+'21'!H22+'22'!H22+'23'!H22+'24'!H22+'25'!H22+'26'!H22+'27'!H22)</f>
        <v>373313</v>
      </c>
      <c r="I22" s="3">
        <f>SUM(1!I22+2!I22+3!I22+4!I22+5!I22+6!I22+7!I22+8!I22+9!I22+'10'!I22+'11'!I22+'12'!I22+'13'!I22+'14'!I22+'15'!I22+'16'!I22+'17'!I22+'18'!I22+'19'!I22+'20'!I22+'21'!I22+'22'!I22+'23'!I22+'24'!I22+'25'!I22+'26'!I22+'27'!I22)</f>
        <v>1637</v>
      </c>
      <c r="J22" s="3">
        <f t="shared" si="2"/>
        <v>9855340</v>
      </c>
      <c r="K22" s="3">
        <f>SUM(1!K22+2!K22+3!K22+4!K22+5!K22+6!K22+7!K22+8!K22+9!K22+'10'!K22+'11'!K22+'12'!K22+'13'!K22+'14'!K22+'15'!K22+'16'!K22+'17'!K22+'18'!K22+'19'!K22+'20'!K22+'21'!K22+'22'!K22+'23'!K22+'24'!K22+'25'!K22+'26'!K22+'27'!K22)</f>
        <v>2437840</v>
      </c>
      <c r="L22" s="3">
        <f>SUM(1!L22+2!L22+3!L22+4!L22+5!L22+6!L22+7!L22+8!L22+9!L22+'10'!L22+'11'!L22+'12'!L22+'13'!L22+'14'!L22+'15'!L22+'16'!L22+'17'!L22+'18'!L22+'19'!L22+'20'!L22+'21'!L22+'22'!L22+'23'!L22+'24'!L22+'25'!L22+'26'!L22+'27'!L22)</f>
        <v>0</v>
      </c>
      <c r="M22" s="3">
        <f>SUM(1!M22+2!M22+3!M22+4!M22+5!M22+6!M22+7!M22+8!M22+9!M22+'10'!M22+'11'!M22+'12'!M22+'13'!M22+'14'!M22+'15'!M22+'16'!M22+'17'!M22+'18'!M22+'19'!M22+'20'!M22+'21'!M22+'22'!M22+'23'!M22+'24'!M22+'25'!M22+'26'!M22+'27'!M22)</f>
        <v>0</v>
      </c>
      <c r="N22" s="3">
        <f>SUM(1!N22+2!N22+3!N22+4!N22+5!N22+6!N22+7!N22+8!N22+9!N22+'10'!N22+'11'!N22+'12'!N22+'13'!N22+'14'!N22+'15'!N22+'16'!N22+'17'!N22+'18'!N22+'19'!N22+'20'!N22+'21'!N22+'22'!N22+'23'!N22+'24'!N22+'25'!N22+'26'!N22+'27'!N22)</f>
        <v>591028</v>
      </c>
      <c r="O22" s="55" t="s">
        <v>71</v>
      </c>
      <c r="P22" s="3">
        <f>SUM(1!O22+2!O22+3!O22+4!O22+5!O22+6!O22+7!O22+8!O22+9!O22+'10'!O22+'11'!O22+'12'!O22+'13'!O22+'14'!O22+'15'!O22+'16'!O22+'17'!O22+'18'!O22+'19'!O22+'20'!O22+'21'!O22+'22'!O22+'23'!O22+'24'!O22+'25'!O22+'26'!O22+'27'!O22)</f>
        <v>0</v>
      </c>
      <c r="Q22" s="3">
        <f>SUM(1!P22+2!P22+3!P22+4!P22+5!P22+6!P22+7!P22+8!P22+9!P22+'10'!P22+'11'!P22+'12'!P22+'13'!P22+'14'!P22+'15'!P22+'16'!P22+'17'!P22+'18'!P22+'19'!P22+'20'!P22+'21'!P22+'22'!P22+'23'!P22+'24'!P22+'25'!P22+'26'!P22+'27'!P22)</f>
        <v>44901258</v>
      </c>
      <c r="R22" s="3">
        <f>SUM(1!Q22+2!Q22+3!Q22+4!Q22+5!Q22+6!Q22+7!Q22+8!Q22+9!Q22+'10'!Q22+'11'!Q22+'12'!Q22+'13'!Q22+'14'!Q22+'15'!Q22+'16'!Q22+'17'!Q22+'18'!Q22+'19'!Q22+'20'!Q22+'21'!Q22+'22'!Q22+'23'!Q22+'24'!Q22+'25'!Q22+'26'!Q22+'27'!Q22)</f>
        <v>0</v>
      </c>
      <c r="S22" s="3">
        <f>SUM(1!R22+2!R22+3!R22+4!R22+5!R22+6!R22+7!R22+8!R22+9!R22+'10'!R22+'11'!R22+'12'!R22+'13'!R22+'14'!R22+'15'!R22+'16'!R22+'17'!R22+'18'!R22+'19'!R22+'20'!R22+'21'!R22+'22'!R22+'23'!R22+'24'!R22+'25'!R22+'26'!R22+'27'!R22)</f>
        <v>27016</v>
      </c>
      <c r="T22" s="3">
        <f>SUM(1!S22+2!S22+3!S22+4!S22+5!S22+6!S22+7!S22+8!S22+9!S22+'10'!S22+'11'!S22+'12'!S22+'13'!S22+'14'!S22+'15'!S22+'16'!S22+'17'!S22+'18'!S22+'19'!S22+'20'!S22+'21'!S22+'22'!S22+'23'!S22+'24'!S22+'25'!S22+'26'!S22+'27'!S22)</f>
        <v>0</v>
      </c>
      <c r="U22" s="64">
        <f>SUM(1!T22+2!T22+3!T22+4!T22+5!T22+6!T22+7!T22+8!T22+9!T22+'10'!T22+'11'!T22+'12'!T22+'13'!T22+'14'!T22+'15'!T22+'16'!T22+'17'!T22+'18'!T22+'19'!T22+'20'!T22+'21'!T22+'22'!T22+'23'!T22+'24'!T22+'25'!T22+'26'!T22+'27'!T22)</f>
        <v>0</v>
      </c>
      <c r="V22" s="3">
        <f>SUM(1!U22+2!U22+3!U22+4!U22+5!U22+6!U22+7!U22+8!U22+9!U22+'10'!U22+'11'!U22+'12'!U22+'13'!U22+'14'!U22+'15'!U22+'16'!U22+'17'!U22+'18'!U22+'19'!U22+'20'!U22+'21'!U22+'22'!U22+'23'!U22+'24'!U22+'25'!U22+'26'!U22+'27'!U22)</f>
        <v>59980</v>
      </c>
      <c r="W22" s="3">
        <f>SUM(1!V22+2!V22+3!V22+4!V22+5!V22+6!V22+7!V22+8!V22+9!V22+'10'!V22+'11'!V22+'12'!V22+'13'!V22+'14'!V22+'15'!V22+'16'!V22+'17'!V22+'18'!V22+'19'!V22+'20'!V22+'21'!V22+'22'!V22+'23'!V22+'24'!V22+'25'!V22+'26'!V22+'27'!V22)</f>
        <v>42866556</v>
      </c>
      <c r="X22" s="3">
        <f>SUM(1!W22+2!W22+3!W22+4!W22+5!W22+6!W22+7!W22+8!W22+9!W22+'10'!W22+'11'!W22+'12'!W22+'13'!W22+'14'!W22+'15'!W22+'16'!W22+'17'!W22+'18'!W22+'19'!W22+'20'!W22+'21'!W22+'22'!W22+'23'!W22+'24'!W22+'25'!W22+'26'!W22+'27'!W22)</f>
        <v>78227</v>
      </c>
      <c r="Y22" s="3">
        <f>SUM(1!X22+2!X22+3!X22+4!X22+5!X22+6!X22+7!X22+8!X22+9!X22+'10'!X22+'11'!X22+'12'!X22+'13'!X22+'14'!X22+'15'!X22+'16'!X22+'17'!X22+'18'!X22+'19'!X22+'20'!X22+'21'!X22+'22'!X22+'23'!X22+'24'!X22+'25'!X22+'26'!X22+'27'!X22)</f>
        <v>22560</v>
      </c>
      <c r="Z22" s="3">
        <f>SUM(1!Y22+2!Y22+3!Y22+4!Y22+5!Y22+6!Y22+7!Y22+8!Y22+9!Y22+'10'!Y22+'11'!Y22+'12'!Y22+'13'!Y22+'14'!Y22+'15'!Y22+'16'!Y22+'17'!Y22+'18'!Y22+'19'!Y22+'20'!Y22+'21'!Y22+'22'!Y22+'23'!Y22+'24'!Y22+'25'!Y22+'26'!Y22+'27'!Y22)</f>
        <v>306305</v>
      </c>
      <c r="AA22" s="3">
        <f>SUM(1!Z22+2!Z22+3!Z22+4!Z22+5!Z22+6!Z22+7!Z22+8!Z22+9!Z22+'10'!Z22+'11'!Z22+'12'!Z22+'13'!Z22+'14'!Z22+'15'!Z22+'16'!Z22+'17'!Z22+'18'!Z22+'19'!Z22+'20'!Z22+'21'!Z22+'22'!Z22+'23'!Z22+'24'!Z22+'25'!Z22+'26'!Z22+'27'!Z22)</f>
        <v>239851</v>
      </c>
      <c r="AB22" s="3">
        <f t="shared" si="3"/>
        <v>91530621</v>
      </c>
      <c r="AC22" s="4">
        <f t="shared" si="4"/>
        <v>101385961</v>
      </c>
    </row>
    <row r="23" spans="1:29" ht="30" customHeight="1">
      <c r="A23" s="55" t="s">
        <v>176</v>
      </c>
      <c r="B23" s="3">
        <f>SUM(1!B23+2!B23+3!B23+4!B23+5!B23+6!B23+7!B23+8!B23+9!B23+'10'!B23+'11'!B23+'12'!B23+'13'!B23+'14'!B23+'15'!B23+'16'!B23+'17'!B23+'18'!B23+'19'!B23+'20'!B23+'21'!B23+'22'!B23+'23'!B23+'24'!B23+'25'!B23+'26'!B23+'27'!B23)</f>
        <v>8346862</v>
      </c>
      <c r="C23" s="3">
        <f>SUM(1!C23+2!C23+3!C23+4!C23+5!C23+6!C23+7!C23+8!C23+9!C23+'10'!C23+'11'!C23+'12'!C23+'13'!C23+'14'!C23+'15'!C23+'16'!C23+'17'!C23+'18'!C23+'19'!C23+'20'!C23+'21'!C23+'22'!C23+'23'!C23+'24'!C23+'25'!C23+'26'!C23+'27'!C23)</f>
        <v>6912762</v>
      </c>
      <c r="D23" s="3">
        <f>SUM(1!D23+2!D23+3!D23+4!D23+5!D23+6!D23+7!D23+8!D23+9!D23+'10'!D23+'11'!D23+'12'!D23+'13'!D23+'14'!D23+'15'!D23+'16'!D23+'17'!D23+'18'!D23+'19'!D23+'20'!D23+'21'!D23+'22'!D23+'23'!D23+'24'!D23+'25'!D23+'26'!D23+'27'!D23)</f>
        <v>0</v>
      </c>
      <c r="E23" s="3">
        <f>SUM(1!E23+2!E23+3!E23+4!E23+5!E23+6!E23+7!E23+8!E23+9!E23+'10'!E23+'11'!E23+'12'!E23+'13'!E23+'14'!E23+'15'!E23+'16'!E23+'17'!E23+'18'!E23+'19'!E23+'20'!E23+'21'!E23+'22'!E23+'23'!E23+'24'!E23+'25'!E23+'26'!E23+'27'!E23)</f>
        <v>9257</v>
      </c>
      <c r="F23" s="3">
        <f>SUM(1!F23+2!F23+3!F23+4!F23+5!F23+6!F23+7!F23+8!F23+9!F23+'10'!F23+'11'!F23+'12'!F23+'13'!F23+'14'!F23+'15'!F23+'16'!F23+'17'!F23+'18'!F23+'19'!F23+'20'!F23+'21'!F23+'22'!F23+'23'!F23+'24'!F23+'25'!F23+'26'!F23+'27'!F23)</f>
        <v>412159</v>
      </c>
      <c r="G23" s="3">
        <f>SUM(1!G23+2!G23+3!G23+4!G23+5!G23+6!G23+7!G23+8!G23+9!G23+'10'!G23+'11'!G23+'12'!G23+'13'!G23+'14'!G23+'15'!G23+'16'!G23+'17'!G23+'18'!G23+'19'!G23+'20'!G23+'21'!G23+'22'!G23+'23'!G23+'24'!G23+'25'!G23+'26'!G23+'27'!G23)</f>
        <v>240583</v>
      </c>
      <c r="H23" s="64">
        <f>SUM(1!H23+2!H23+3!H23+4!H23+5!H23+6!H23+7!H23+8!H23+9!H23+'10'!H23+'11'!H23+'12'!H23+'13'!H23+'14'!H23+'15'!H23+'16'!H23+'17'!H23+'18'!H23+'19'!H23+'20'!H23+'21'!H23+'22'!H23+'23'!H23+'24'!H23+'25'!H23+'26'!H23+'27'!H23)</f>
        <v>1470596</v>
      </c>
      <c r="I23" s="3">
        <f>SUM(1!I23+2!I23+3!I23+4!I23+5!I23+6!I23+7!I23+8!I23+9!I23+'10'!I23+'11'!I23+'12'!I23+'13'!I23+'14'!I23+'15'!I23+'16'!I23+'17'!I23+'18'!I23+'19'!I23+'20'!I23+'21'!I23+'22'!I23+'23'!I23+'24'!I23+'25'!I23+'26'!I23+'27'!I23)</f>
        <v>182850</v>
      </c>
      <c r="J23" s="3">
        <f t="shared" si="2"/>
        <v>17575069</v>
      </c>
      <c r="K23" s="3">
        <f>SUM(1!K23+2!K23+3!K23+4!K23+5!K23+6!K23+7!K23+8!K23+9!K23+'10'!K23+'11'!K23+'12'!K23+'13'!K23+'14'!K23+'15'!K23+'16'!K23+'17'!K23+'18'!K23+'19'!K23+'20'!K23+'21'!K23+'22'!K23+'23'!K23+'24'!K23+'25'!K23+'26'!K23+'27'!K23)</f>
        <v>0</v>
      </c>
      <c r="L23" s="3">
        <f>SUM(1!L23+2!L23+3!L23+4!L23+5!L23+6!L23+7!L23+8!L23+9!L23+'10'!L23+'11'!L23+'12'!L23+'13'!L23+'14'!L23+'15'!L23+'16'!L23+'17'!L23+'18'!L23+'19'!L23+'20'!L23+'21'!L23+'22'!L23+'23'!L23+'24'!L23+'25'!L23+'26'!L23+'27'!L23)</f>
        <v>9092879</v>
      </c>
      <c r="M23" s="3">
        <f>SUM(1!M23+2!M23+3!M23+4!M23+5!M23+6!M23+7!M23+8!M23+9!M23+'10'!M23+'11'!M23+'12'!M23+'13'!M23+'14'!M23+'15'!M23+'16'!M23+'17'!M23+'18'!M23+'19'!M23+'20'!M23+'21'!M23+'22'!M23+'23'!M23+'24'!M23+'25'!M23+'26'!M23+'27'!M23)</f>
        <v>0</v>
      </c>
      <c r="N23" s="3">
        <f>SUM(1!N23+2!N23+3!N23+4!N23+5!N23+6!N23+7!N23+8!N23+9!N23+'10'!N23+'11'!N23+'12'!N23+'13'!N23+'14'!N23+'15'!N23+'16'!N23+'17'!N23+'18'!N23+'19'!N23+'20'!N23+'21'!N23+'22'!N23+'23'!N23+'24'!N23+'25'!N23+'26'!N23+'27'!N23)</f>
        <v>1793</v>
      </c>
      <c r="O23" s="55" t="s">
        <v>176</v>
      </c>
      <c r="P23" s="3">
        <f>SUM(1!O23+2!O23+3!O23+4!O23+5!O23+6!O23+7!O23+8!O23+9!O23+'10'!O23+'11'!O23+'12'!O23+'13'!O23+'14'!O23+'15'!O23+'16'!O23+'17'!O23+'18'!O23+'19'!O23+'20'!O23+'21'!O23+'22'!O23+'23'!O23+'24'!O23+'25'!O23+'26'!O23+'27'!O23)</f>
        <v>6000450</v>
      </c>
      <c r="Q23" s="3">
        <f>SUM(1!P23+2!P23+3!P23+4!P23+5!P23+6!P23+7!P23+8!P23+9!P23+'10'!P23+'11'!P23+'12'!P23+'13'!P23+'14'!P23+'15'!P23+'16'!P23+'17'!P23+'18'!P23+'19'!P23+'20'!P23+'21'!P23+'22'!P23+'23'!P23+'24'!P23+'25'!P23+'26'!P23+'27'!P23)</f>
        <v>17267697</v>
      </c>
      <c r="R23" s="3">
        <f>SUM(1!Q23+2!Q23+3!Q23+4!Q23+5!Q23+6!Q23+7!Q23+8!Q23+9!Q23+'10'!Q23+'11'!Q23+'12'!Q23+'13'!Q23+'14'!Q23+'15'!Q23+'16'!Q23+'17'!Q23+'18'!Q23+'19'!Q23+'20'!Q23+'21'!Q23+'22'!Q23+'23'!Q23+'24'!Q23+'25'!Q23+'26'!Q23+'27'!Q23)</f>
        <v>0</v>
      </c>
      <c r="S23" s="3">
        <f>SUM(1!R23+2!R23+3!R23+4!R23+5!R23+6!R23+7!R23+8!R23+9!R23+'10'!R23+'11'!R23+'12'!R23+'13'!R23+'14'!R23+'15'!R23+'16'!R23+'17'!R23+'18'!R23+'19'!R23+'20'!R23+'21'!R23+'22'!R23+'23'!R23+'24'!R23+'25'!R23+'26'!R23+'27'!R23)</f>
        <v>367259</v>
      </c>
      <c r="T23" s="3">
        <f>SUM(1!S23+2!S23+3!S23+4!S23+5!S23+6!S23+7!S23+8!S23+9!S23+'10'!S23+'11'!S23+'12'!S23+'13'!S23+'14'!S23+'15'!S23+'16'!S23+'17'!S23+'18'!S23+'19'!S23+'20'!S23+'21'!S23+'22'!S23+'23'!S23+'24'!S23+'25'!S23+'26'!S23+'27'!S23)</f>
        <v>0</v>
      </c>
      <c r="U23" s="64">
        <f>SUM(1!T23+2!T23+3!T23+4!T23+5!T23+6!T23+7!T23+8!T23+9!T23+'10'!T23+'11'!T23+'12'!T23+'13'!T23+'14'!T23+'15'!T23+'16'!T23+'17'!T23+'18'!T23+'19'!T23+'20'!T23+'21'!T23+'22'!T23+'23'!T23+'24'!T23+'25'!T23+'26'!T23+'27'!T23)</f>
        <v>0</v>
      </c>
      <c r="V23" s="3">
        <f>SUM(1!U23+2!U23+3!U23+4!U23+5!U23+6!U23+7!U23+8!U23+9!U23+'10'!U23+'11'!U23+'12'!U23+'13'!U23+'14'!U23+'15'!U23+'16'!U23+'17'!U23+'18'!U23+'19'!U23+'20'!U23+'21'!U23+'22'!U23+'23'!U23+'24'!U23+'25'!U23+'26'!U23+'27'!U23)</f>
        <v>689949</v>
      </c>
      <c r="W23" s="3">
        <f>SUM(1!V23+2!V23+3!V23+4!V23+5!V23+6!V23+7!V23+8!V23+9!V23+'10'!V23+'11'!V23+'12'!V23+'13'!V23+'14'!V23+'15'!V23+'16'!V23+'17'!V23+'18'!V23+'19'!V23+'20'!V23+'21'!V23+'22'!V23+'23'!V23+'24'!V23+'25'!V23+'26'!V23+'27'!V23)</f>
        <v>3744083</v>
      </c>
      <c r="X23" s="3">
        <f>SUM(1!W23+2!W23+3!W23+4!W23+5!W23+6!W23+7!W23+8!W23+9!W23+'10'!W23+'11'!W23+'12'!W23+'13'!W23+'14'!W23+'15'!W23+'16'!W23+'17'!W23+'18'!W23+'19'!W23+'20'!W23+'21'!W23+'22'!W23+'23'!W23+'24'!W23+'25'!W23+'26'!W23+'27'!W23)</f>
        <v>8796</v>
      </c>
      <c r="Y23" s="3">
        <f>SUM(1!X23+2!X23+3!X23+4!X23+5!X23+6!X23+7!X23+8!X23+9!X23+'10'!X23+'11'!X23+'12'!X23+'13'!X23+'14'!X23+'15'!X23+'16'!X23+'17'!X23+'18'!X23+'19'!X23+'20'!X23+'21'!X23+'22'!X23+'23'!X23+'24'!X23+'25'!X23+'26'!X23+'27'!X23)</f>
        <v>293279</v>
      </c>
      <c r="Z23" s="3">
        <f>SUM(1!Y23+2!Y23+3!Y23+4!Y23+5!Y23+6!Y23+7!Y23+8!Y23+9!Y23+'10'!Y23+'11'!Y23+'12'!Y23+'13'!Y23+'14'!Y23+'15'!Y23+'16'!Y23+'17'!Y23+'18'!Y23+'19'!Y23+'20'!Y23+'21'!Y23+'22'!Y23+'23'!Y23+'24'!Y23+'25'!Y23+'26'!Y23+'27'!Y23)</f>
        <v>907308</v>
      </c>
      <c r="AA23" s="3">
        <f>SUM(1!Z23+2!Z23+3!Z23+4!Z23+5!Z23+6!Z23+7!Z23+8!Z23+9!Z23+'10'!Z23+'11'!Z23+'12'!Z23+'13'!Z23+'14'!Z23+'15'!Z23+'16'!Z23+'17'!Z23+'18'!Z23+'19'!Z23+'20'!Z23+'21'!Z23+'22'!Z23+'23'!Z23+'24'!Z23+'25'!Z23+'26'!Z23+'27'!Z23)</f>
        <v>9840</v>
      </c>
      <c r="AB23" s="3">
        <f t="shared" si="3"/>
        <v>38383333</v>
      </c>
      <c r="AC23" s="4">
        <f t="shared" si="4"/>
        <v>55958402</v>
      </c>
    </row>
    <row r="24" spans="1:29" ht="30" customHeight="1">
      <c r="A24" s="55" t="s">
        <v>184</v>
      </c>
      <c r="B24" s="3">
        <f>SUM(1!B24+2!B24+3!B24+4!B24+5!B24+6!B24+7!B24+8!B24+9!B24+'10'!B24+'11'!B24+'12'!B24+'13'!B24+'14'!B24+'15'!B24+'16'!B24+'17'!B24+'18'!B24+'19'!B24+'20'!B24+'21'!B24+'22'!B24+'23'!B24+'24'!B24+'25'!B24+'26'!B24+'27'!B24)</f>
        <v>1677679</v>
      </c>
      <c r="C24" s="3">
        <f>SUM(1!C24+2!C24+3!C24+4!C24+5!C24+6!C24+7!C24+8!C24+9!C24+'10'!C24+'11'!C24+'12'!C24+'13'!C24+'14'!C24+'15'!C24+'16'!C24+'17'!C24+'18'!C24+'19'!C24+'20'!C24+'21'!C24+'22'!C24+'23'!C24+'24'!C24+'25'!C24+'26'!C24+'27'!C24)</f>
        <v>2682075</v>
      </c>
      <c r="D24" s="3">
        <f>SUM(1!D24+2!D24+3!D24+4!D24+5!D24+6!D24+7!D24+8!D24+9!D24+'10'!D24+'11'!D24+'12'!D24+'13'!D24+'14'!D24+'15'!D24+'16'!D24+'17'!D24+'18'!D24+'19'!D24+'20'!D24+'21'!D24+'22'!D24+'23'!D24+'24'!D24+'25'!D24+'26'!D24+'27'!D24)</f>
        <v>0</v>
      </c>
      <c r="E24" s="3">
        <f>SUM(1!E24+2!E24+3!E24+4!E24+5!E24+6!E24+7!E24+8!E24+9!E24+'10'!E24+'11'!E24+'12'!E24+'13'!E24+'14'!E24+'15'!E24+'16'!E24+'17'!E24+'18'!E24+'19'!E24+'20'!E24+'21'!E24+'22'!E24+'23'!E24+'24'!E24+'25'!E24+'26'!E24+'27'!E24)</f>
        <v>1021</v>
      </c>
      <c r="F24" s="3">
        <f>SUM(1!F24+2!F24+3!F24+4!F24+5!F24+6!F24+7!F24+8!F24+9!F24+'10'!F24+'11'!F24+'12'!F24+'13'!F24+'14'!F24+'15'!F24+'16'!F24+'17'!F24+'18'!F24+'19'!F24+'20'!F24+'21'!F24+'22'!F24+'23'!F24+'24'!F24+'25'!F24+'26'!F24+'27'!F24)</f>
        <v>3384</v>
      </c>
      <c r="G24" s="3">
        <f>SUM(1!G24+2!G24+3!G24+4!G24+5!G24+6!G24+7!G24+8!G24+9!G24+'10'!G24+'11'!G24+'12'!G24+'13'!G24+'14'!G24+'15'!G24+'16'!G24+'17'!G24+'18'!G24+'19'!G24+'20'!G24+'21'!G24+'22'!G24+'23'!G24+'24'!G24+'25'!G24+'26'!G24+'27'!G24)</f>
        <v>24405</v>
      </c>
      <c r="H24" s="64">
        <f>SUM(1!H24+2!H24+3!H24+4!H24+5!H24+6!H24+7!H24+8!H24+9!H24+'10'!H24+'11'!H24+'12'!H24+'13'!H24+'14'!H24+'15'!H24+'16'!H24+'17'!H24+'18'!H24+'19'!H24+'20'!H24+'21'!H24+'22'!H24+'23'!H24+'24'!H24+'25'!H24+'26'!H24+'27'!H24)</f>
        <v>1921145</v>
      </c>
      <c r="I24" s="3">
        <f>SUM(1!I24+2!I24+3!I24+4!I24+5!I24+6!I24+7!I24+8!I24+9!I24+'10'!I24+'11'!I24+'12'!I24+'13'!I24+'14'!I24+'15'!I24+'16'!I24+'17'!I24+'18'!I24+'19'!I24+'20'!I24+'21'!I24+'22'!I24+'23'!I24+'24'!I24+'25'!I24+'26'!I24+'27'!I24)</f>
        <v>254</v>
      </c>
      <c r="J24" s="3">
        <f>SUM(B24:I24)</f>
        <v>6309963</v>
      </c>
      <c r="K24" s="3">
        <f>SUM(1!K24+2!K24+3!K24+4!K24+5!K24+6!K24+7!K24+8!K24+9!K24+'10'!K24+'11'!K24+'12'!K24+'13'!K24+'14'!K24+'15'!K24+'16'!K24+'17'!K24+'18'!K24+'19'!K24+'20'!K24+'21'!K24+'22'!K24+'23'!K24+'24'!K24+'25'!K24+'26'!K24+'27'!K24)</f>
        <v>0</v>
      </c>
      <c r="L24" s="3">
        <f>SUM(1!L24+2!L24+3!L24+4!L24+5!L24+6!L24+7!L24+8!L24+9!L24+'10'!L24+'11'!L24+'12'!L24+'13'!L24+'14'!L24+'15'!L24+'16'!L24+'17'!L24+'18'!L24+'19'!L24+'20'!L24+'21'!L24+'22'!L24+'23'!L24+'24'!L24+'25'!L24+'26'!L24+'27'!L24)</f>
        <v>0</v>
      </c>
      <c r="M24" s="3">
        <f>SUM(1!M24+2!M24+3!M24+4!M24+5!M24+6!M24+7!M24+8!M24+9!M24+'10'!M24+'11'!M24+'12'!M24+'13'!M24+'14'!M24+'15'!M24+'16'!M24+'17'!M24+'18'!M24+'19'!M24+'20'!M24+'21'!M24+'22'!M24+'23'!M24+'24'!M24+'25'!M24+'26'!M24+'27'!M24)</f>
        <v>0</v>
      </c>
      <c r="N24" s="3">
        <f>SUM(1!N24+2!N24+3!N24+4!N24+5!N24+6!N24+7!N24+8!N24+9!N24+'10'!N24+'11'!N24+'12'!N24+'13'!N24+'14'!N24+'15'!N24+'16'!N24+'17'!N24+'18'!N24+'19'!N24+'20'!N24+'21'!N24+'22'!N24+'23'!N24+'24'!N24+'25'!N24+'26'!N24+'27'!N24)</f>
        <v>0</v>
      </c>
      <c r="O24" s="55" t="s">
        <v>73</v>
      </c>
      <c r="P24" s="3">
        <f>SUM(1!O24+2!O24+3!O24+4!O24+5!O24+6!O24+7!O24+8!O24+9!O24+'10'!O24+'11'!O24+'12'!O24+'13'!O24+'14'!O24+'15'!O24+'16'!O24+'17'!O24+'18'!O24+'19'!O24+'20'!O24+'21'!O24+'22'!O24+'23'!O24+'24'!O24+'25'!O24+'26'!O24+'27'!O24)</f>
        <v>8936</v>
      </c>
      <c r="Q24" s="3">
        <f>SUM(1!P24+2!P24+3!P24+4!P24+5!P24+6!P24+7!P24+8!P24+9!P24+'10'!P24+'11'!P24+'12'!P24+'13'!P24+'14'!P24+'15'!P24+'16'!P24+'17'!P24+'18'!P24+'19'!P24+'20'!P24+'21'!P24+'22'!P24+'23'!P24+'24'!P24+'25'!P24+'26'!P24+'27'!P24)</f>
        <v>3279037</v>
      </c>
      <c r="R24" s="3">
        <f>SUM(1!Q24+2!Q24+3!Q24+4!Q24+5!Q24+6!Q24+7!Q24+8!Q24+9!Q24+'10'!Q24+'11'!Q24+'12'!Q24+'13'!Q24+'14'!Q24+'15'!Q24+'16'!Q24+'17'!Q24+'18'!Q24+'19'!Q24+'20'!Q24+'21'!Q24+'22'!Q24+'23'!Q24+'24'!Q24+'25'!Q24+'26'!Q24+'27'!Q24)</f>
        <v>0</v>
      </c>
      <c r="S24" s="3">
        <f>SUM(1!R24+2!R24+3!R24+4!R24+5!R24+6!R24+7!R24+8!R24+9!R24+'10'!R24+'11'!R24+'12'!R24+'13'!R24+'14'!R24+'15'!R24+'16'!R24+'17'!R24+'18'!R24+'19'!R24+'20'!R24+'21'!R24+'22'!R24+'23'!R24+'24'!R24+'25'!R24+'26'!R24+'27'!R24)</f>
        <v>630464</v>
      </c>
      <c r="T24" s="3">
        <f>SUM(1!S24+2!S24+3!S24+4!S24+5!S24+6!S24+7!S24+8!S24+9!S24+'10'!S24+'11'!S24+'12'!S24+'13'!S24+'14'!S24+'15'!S24+'16'!S24+'17'!S24+'18'!S24+'19'!S24+'20'!S24+'21'!S24+'22'!S24+'23'!S24+'24'!S24+'25'!S24+'26'!S24+'27'!S24)</f>
        <v>0</v>
      </c>
      <c r="U24" s="64">
        <f>SUM(1!T24+2!T24+3!T24+4!T24+5!T24+6!T24+7!T24+8!T24+9!T24+'10'!T24+'11'!T24+'12'!T24+'13'!T24+'14'!T24+'15'!T24+'16'!T24+'17'!T24+'18'!T24+'19'!T24+'20'!T24+'21'!T24+'22'!T24+'23'!T24+'24'!T24+'25'!T24+'26'!T24+'27'!T24)</f>
        <v>0</v>
      </c>
      <c r="V24" s="3">
        <f>SUM(1!U24+2!U24+3!U24+4!U24+5!U24+6!U24+7!U24+8!U24+9!U24+'10'!U24+'11'!U24+'12'!U24+'13'!U24+'14'!U24+'15'!U24+'16'!U24+'17'!U24+'18'!U24+'19'!U24+'20'!U24+'21'!U24+'22'!U24+'23'!U24+'24'!U24+'25'!U24+'26'!U24+'27'!U24)</f>
        <v>251632</v>
      </c>
      <c r="W24" s="3">
        <f>SUM(1!V24+2!V24+3!V24+4!V24+5!V24+6!V24+7!V24+8!V24+9!V24+'10'!V24+'11'!V24+'12'!V24+'13'!V24+'14'!V24+'15'!V24+'16'!V24+'17'!V24+'18'!V24+'19'!V24+'20'!V24+'21'!V24+'22'!V24+'23'!V24+'24'!V24+'25'!V24+'26'!V24+'27'!V24)</f>
        <v>892409</v>
      </c>
      <c r="X24" s="3">
        <f>SUM(1!W24+2!W24+3!W24+4!W24+5!W24+6!W24+7!W24+8!W24+9!W24+'10'!W24+'11'!W24+'12'!W24+'13'!W24+'14'!W24+'15'!W24+'16'!W24+'17'!W24+'18'!W24+'19'!W24+'20'!W24+'21'!W24+'22'!W24+'23'!W24+'24'!W24+'25'!W24+'26'!W24+'27'!W24)</f>
        <v>70637</v>
      </c>
      <c r="Y24" s="3">
        <f>SUM(1!X24+2!X24+3!X24+4!X24+5!X24+6!X24+7!X24+8!X24+9!X24+'10'!X24+'11'!X24+'12'!X24+'13'!X24+'14'!X24+'15'!X24+'16'!X24+'17'!X24+'18'!X24+'19'!X24+'20'!X24+'21'!X24+'22'!X24+'23'!X24+'24'!X24+'25'!X24+'26'!X24+'27'!X24)</f>
        <v>89861</v>
      </c>
      <c r="Z24" s="3">
        <f>SUM(1!Y24+2!Y24+3!Y24+4!Y24+5!Y24+6!Y24+7!Y24+8!Y24+9!Y24+'10'!Y24+'11'!Y24+'12'!Y24+'13'!Y24+'14'!Y24+'15'!Y24+'16'!Y24+'17'!Y24+'18'!Y24+'19'!Y24+'20'!Y24+'21'!Y24+'22'!Y24+'23'!Y24+'24'!Y24+'25'!Y24+'26'!Y24+'27'!Y24)</f>
        <v>263936</v>
      </c>
      <c r="AA24" s="3">
        <f>SUM(1!Z24+2!Z24+3!Z24+4!Z24+5!Z24+6!Z24+7!Z24+8!Z24+9!Z24+'10'!Z24+'11'!Z24+'12'!Z24+'13'!Z24+'14'!Z24+'15'!Z24+'16'!Z24+'17'!Z24+'18'!Z24+'19'!Z24+'20'!Z24+'21'!Z24+'22'!Z24+'23'!Z24+'24'!Z24+'25'!Z24+'26'!Z24+'27'!Z24)</f>
        <v>0</v>
      </c>
      <c r="AB24" s="3">
        <f>SUM(K24:AA24)</f>
        <v>5486912</v>
      </c>
      <c r="AC24" s="4">
        <f>SUM(J24+AB24)</f>
        <v>11796875</v>
      </c>
    </row>
    <row r="25" spans="1:29" ht="30" customHeight="1">
      <c r="A25" s="55" t="s">
        <v>209</v>
      </c>
      <c r="B25" s="3">
        <f>SUM(1!B25+2!B25+3!B25+4!B25+5!B25+6!B25+7!B25+8!B25+9!B25+'10'!B25+'11'!B25+'12'!B25+'13'!B25+'14'!B25+'15'!B25+'16'!B25+'17'!B25+'18'!B25+'19'!B25+'20'!B25+'21'!B25+'22'!B25+'23'!B25+'24'!B25+'25'!B25+'26'!B25+'27'!B25)</f>
        <v>2053492</v>
      </c>
      <c r="C25" s="3">
        <f>SUM(1!C25+2!C25+3!C25+4!C25+5!C25+6!C25+7!C25+8!C25+9!C25+'10'!C25+'11'!C25+'12'!C25+'13'!C25+'14'!C25+'15'!C25+'16'!C25+'17'!C25+'18'!C25+'19'!C25+'20'!C25+'21'!C25+'22'!C25+'23'!C25+'24'!C25+'25'!C25+'26'!C25+'27'!C25)</f>
        <v>508211</v>
      </c>
      <c r="D25" s="3">
        <f>SUM(1!D25+2!D25+3!D25+4!D25+5!D25+6!D25+7!D25+8!D25+9!D25+'10'!D25+'11'!D25+'12'!D25+'13'!D25+'14'!D25+'15'!D25+'16'!D25+'17'!D25+'18'!D25+'19'!D25+'20'!D25+'21'!D25+'22'!D25+'23'!D25+'24'!D25+'25'!D25+'26'!D25+'27'!D25)</f>
        <v>116244028</v>
      </c>
      <c r="E25" s="3">
        <f>SUM(1!E25+2!E25+3!E25+4!E25+5!E25+6!E25+7!E25+8!E25+9!E25+'10'!E25+'11'!E25+'12'!E25+'13'!E25+'14'!E25+'15'!E25+'16'!E25+'17'!E25+'18'!E25+'19'!E25+'20'!E25+'21'!E25+'22'!E25+'23'!E25+'24'!E25+'25'!E25+'26'!E25+'27'!E25)</f>
        <v>0</v>
      </c>
      <c r="F25" s="3">
        <f>SUM(1!F25+2!F25+3!F25+4!F25+5!F25+6!F25+7!F25+8!F25+9!F25+'10'!F25+'11'!F25+'12'!F25+'13'!F25+'14'!F25+'15'!F25+'16'!F25+'17'!F25+'18'!F25+'19'!F25+'20'!F25+'21'!F25+'22'!F25+'23'!F25+'24'!F25+'25'!F25+'26'!F25+'27'!F25)</f>
        <v>0</v>
      </c>
      <c r="G25" s="3">
        <f>SUM(1!G25+2!G25+3!G25+4!G25+5!G25+6!G25+7!G25+8!G25+9!G25+'10'!G25+'11'!G25+'12'!G25+'13'!G25+'14'!G25+'15'!G25+'16'!G25+'17'!G25+'18'!G25+'19'!G25+'20'!G25+'21'!G25+'22'!G25+'23'!G25+'24'!G25+'25'!G25+'26'!G25+'27'!G25)</f>
        <v>66222</v>
      </c>
      <c r="H25" s="64">
        <f>SUM(1!H25+2!H25+3!H25+4!H25+5!H25+6!H25+7!H25+8!H25+9!H25+'10'!H25+'11'!H25+'12'!H25+'13'!H25+'14'!H25+'15'!H25+'16'!H25+'17'!H25+'18'!H25+'19'!H25+'20'!H25+'21'!H25+'22'!H25+'23'!H25+'24'!H25+'25'!H25+'26'!H25+'27'!H25)</f>
        <v>88681936</v>
      </c>
      <c r="I25" s="3">
        <f>SUM(1!I25+2!I25+3!I25+4!I25+5!I25+6!I25+7!I25+8!I25+9!I25+'10'!I25+'11'!I25+'12'!I25+'13'!I25+'14'!I25+'15'!I25+'16'!I25+'17'!I25+'18'!I25+'19'!I25+'20'!I25+'21'!I25+'22'!I25+'23'!I25+'24'!I25+'25'!I25+'26'!I25+'27'!I25)</f>
        <v>0</v>
      </c>
      <c r="J25" s="3">
        <f t="shared" si="2"/>
        <v>207553889</v>
      </c>
      <c r="K25" s="3">
        <f>SUM(1!K25+2!K25+3!K25+4!K25+5!K25+6!K25+7!K25+8!K25+9!K25+'10'!K25+'11'!K25+'12'!K25+'13'!K25+'14'!K25+'15'!K25+'16'!K25+'17'!K25+'18'!K25+'19'!K25+'20'!K25+'21'!K25+'22'!K25+'23'!K25+'24'!K25+'25'!K25+'26'!K25+'27'!K25)</f>
        <v>0</v>
      </c>
      <c r="L25" s="3">
        <f>SUM(1!L25+2!L25+3!L25+4!L25+5!L25+6!L25+7!L25+8!L25+9!L25+'10'!L25+'11'!L25+'12'!L25+'13'!L25+'14'!L25+'15'!L25+'16'!L25+'17'!L25+'18'!L25+'19'!L25+'20'!L25+'21'!L25+'22'!L25+'23'!L25+'24'!L25+'25'!L25+'26'!L25+'27'!L25)</f>
        <v>0</v>
      </c>
      <c r="M25" s="3">
        <f>SUM(1!M25+2!M25+3!M25+4!M25+5!M25+6!M25+7!M25+8!M25+9!M25+'10'!M25+'11'!M25+'12'!M25+'13'!M25+'14'!M25+'15'!M25+'16'!M25+'17'!M25+'18'!M25+'19'!M25+'20'!M25+'21'!M25+'22'!M25+'23'!M25+'24'!M25+'25'!M25+'26'!M25+'27'!M25)</f>
        <v>0</v>
      </c>
      <c r="N25" s="3">
        <f>SUM(1!N25+2!N25+3!N25+4!N25+5!N25+6!N25+7!N25+8!N25+9!N25+'10'!N25+'11'!N25+'12'!N25+'13'!N25+'14'!N25+'15'!N25+'16'!N25+'17'!N25+'18'!N25+'19'!N25+'20'!N25+'21'!N25+'22'!N25+'23'!N25+'24'!N25+'25'!N25+'26'!N25+'27'!N25)</f>
        <v>0</v>
      </c>
      <c r="O25" s="55" t="s">
        <v>209</v>
      </c>
      <c r="P25" s="3">
        <f>SUM(1!O25+2!O25+3!O25+4!O25+5!O25+6!O25+7!O25+8!O25+9!O25+'10'!O25+'11'!O25+'12'!O25+'13'!O25+'14'!O25+'15'!O25+'16'!O25+'17'!O25+'18'!O25+'19'!O25+'20'!O25+'21'!O25+'22'!O25+'23'!O25+'24'!O25+'25'!O25+'26'!O25+'27'!O25)</f>
        <v>0</v>
      </c>
      <c r="Q25" s="3">
        <f>SUM(1!P25+2!P25+3!P25+4!P25+5!P25+6!P25+7!P25+8!P25+9!P25+'10'!P25+'11'!P25+'12'!P25+'13'!P25+'14'!P25+'15'!P25+'16'!P25+'17'!P25+'18'!P25+'19'!P25+'20'!P25+'21'!P25+'22'!P25+'23'!P25+'24'!P25+'25'!P25+'26'!P25+'27'!P25)</f>
        <v>500000</v>
      </c>
      <c r="R25" s="3">
        <f>SUM(1!Q25+2!Q25+3!Q25+4!Q25+5!Q25+6!Q25+7!Q25+8!Q25+9!Q25+'10'!Q25+'11'!Q25+'12'!Q25+'13'!Q25+'14'!Q25+'15'!Q25+'16'!Q25+'17'!Q25+'18'!Q25+'19'!Q25+'20'!Q25+'21'!Q25+'22'!Q25+'23'!Q25+'24'!Q25+'25'!Q25+'26'!Q25+'27'!Q25)</f>
        <v>0</v>
      </c>
      <c r="S25" s="3">
        <f>SUM(1!R25+2!R25+3!R25+4!R25+5!R25+6!R25+7!R25+8!R25+9!R25+'10'!R25+'11'!R25+'12'!R25+'13'!R25+'14'!R25+'15'!R25+'16'!R25+'17'!R25+'18'!R25+'19'!R25+'20'!R25+'21'!R25+'22'!R25+'23'!R25+'24'!R25+'25'!R25+'26'!R25+'27'!R25)</f>
        <v>0</v>
      </c>
      <c r="T25" s="3">
        <f>SUM(1!S25+2!S25+3!S25+4!S25+5!S25+6!S25+7!S25+8!S25+9!S25+'10'!S25+'11'!S25+'12'!S25+'13'!S25+'14'!S25+'15'!S25+'16'!S25+'17'!S25+'18'!S25+'19'!S25+'20'!S25+'21'!S25+'22'!S25+'23'!S25+'24'!S25+'25'!S25+'26'!S25+'27'!S25)</f>
        <v>0</v>
      </c>
      <c r="U25" s="64">
        <f>SUM(1!T25+2!T25+3!T25+4!T25+5!T25+6!T25+7!T25+8!T25+9!T25+'10'!T25+'11'!T25+'12'!T25+'13'!T25+'14'!T25+'15'!T25+'16'!T25+'17'!T25+'18'!T25+'19'!T25+'20'!T25+'21'!T25+'22'!T25+'23'!T25+'24'!T25+'25'!T25+'26'!T25+'27'!T25)</f>
        <v>0</v>
      </c>
      <c r="V25" s="3">
        <f>SUM(1!U25+2!U25+3!U25+4!U25+5!U25+6!U25+7!U25+8!U25+9!U25+'10'!U25+'11'!U25+'12'!U25+'13'!U25+'14'!U25+'15'!U25+'16'!U25+'17'!U25+'18'!U25+'19'!U25+'20'!U25+'21'!U25+'22'!U25+'23'!U25+'24'!U25+'25'!U25+'26'!U25+'27'!U25)</f>
        <v>0</v>
      </c>
      <c r="W25" s="3">
        <f>SUM(1!V25+2!V25+3!V25+4!V25+5!V25+6!V25+7!V25+8!V25+9!V25+'10'!V25+'11'!V25+'12'!V25+'13'!V25+'14'!V25+'15'!V25+'16'!V25+'17'!V25+'18'!V25+'19'!V25+'20'!V25+'21'!V25+'22'!V25+'23'!V25+'24'!V25+'25'!V25+'26'!V25+'27'!V25)</f>
        <v>0</v>
      </c>
      <c r="X25" s="3">
        <f>SUM(1!W25+2!W25+3!W25+4!W25+5!W25+6!W25+7!W25+8!W25+9!W25+'10'!W25+'11'!W25+'12'!W25+'13'!W25+'14'!W25+'15'!W25+'16'!W25+'17'!W25+'18'!W25+'19'!W25+'20'!W25+'21'!W25+'22'!W25+'23'!W25+'24'!W25+'25'!W25+'26'!W25+'27'!W25)</f>
        <v>0</v>
      </c>
      <c r="Y25" s="3">
        <f>SUM(1!X25+2!X25+3!X25+4!X25+5!X25+6!X25+7!X25+8!X25+9!X25+'10'!X25+'11'!X25+'12'!X25+'13'!X25+'14'!X25+'15'!X25+'16'!X25+'17'!X25+'18'!X25+'19'!X25+'20'!X25+'21'!X25+'22'!X25+'23'!X25+'24'!X25+'25'!X25+'26'!X25+'27'!X25)</f>
        <v>0</v>
      </c>
      <c r="Z25" s="3">
        <f>SUM(1!Y25+2!Y25+3!Y25+4!Y25+5!Y25+6!Y25+7!Y25+8!Y25+9!Y25+'10'!Y25+'11'!Y25+'12'!Y25+'13'!Y25+'14'!Y25+'15'!Y25+'16'!Y25+'17'!Y25+'18'!Y25+'19'!Y25+'20'!Y25+'21'!Y25+'22'!Y25+'23'!Y25+'24'!Y25+'25'!Y25+'26'!Y25+'27'!Y25)</f>
        <v>0</v>
      </c>
      <c r="AA25" s="3">
        <f>SUM(1!Z25+2!Z25+3!Z25+4!Z25+5!Z25+6!Z25+7!Z25+8!Z25+9!Z25+'10'!Z25+'11'!Z25+'12'!Z25+'13'!Z25+'14'!Z25+'15'!Z25+'16'!Z25+'17'!Z25+'18'!Z25+'19'!Z25+'20'!Z25+'21'!Z25+'22'!Z25+'23'!Z25+'24'!Z25+'25'!Z25+'26'!Z25+'27'!Z25)</f>
        <v>0</v>
      </c>
      <c r="AB25" s="3">
        <f t="shared" si="3"/>
        <v>500000</v>
      </c>
      <c r="AC25" s="4">
        <f t="shared" si="4"/>
        <v>208053889</v>
      </c>
    </row>
    <row r="26" spans="1:29" ht="72" customHeight="1" thickBot="1">
      <c r="A26" s="58"/>
      <c r="B26" s="41"/>
      <c r="C26" s="41"/>
      <c r="D26" s="41"/>
      <c r="E26" s="41"/>
      <c r="F26" s="41"/>
      <c r="G26" s="41"/>
      <c r="H26" s="65"/>
      <c r="I26" s="41"/>
      <c r="J26" s="41"/>
      <c r="K26" s="41"/>
      <c r="L26" s="41"/>
      <c r="M26" s="41"/>
      <c r="N26" s="41"/>
      <c r="O26" s="58"/>
      <c r="P26" s="41"/>
      <c r="Q26" s="41"/>
      <c r="R26" s="41"/>
      <c r="S26" s="41"/>
      <c r="T26" s="41"/>
      <c r="U26" s="65"/>
      <c r="V26" s="41"/>
      <c r="W26" s="41"/>
      <c r="X26" s="41"/>
      <c r="Y26" s="41"/>
      <c r="Z26" s="41"/>
      <c r="AA26" s="41"/>
      <c r="AB26" s="41"/>
      <c r="AC26" s="42"/>
    </row>
    <row r="28" spans="35:37" ht="15.75">
      <c r="AI28" s="14" t="e">
        <f>#REF!</f>
        <v>#REF!</v>
      </c>
      <c r="AJ28" s="14">
        <f>C55</f>
        <v>0</v>
      </c>
      <c r="AK28" s="14">
        <f>C55</f>
        <v>0</v>
      </c>
    </row>
    <row r="29" spans="1:15" ht="16.5">
      <c r="A29" s="33"/>
      <c r="B29" s="13"/>
      <c r="C29" s="13"/>
      <c r="D29" s="13"/>
      <c r="F29" s="47"/>
      <c r="G29" s="47"/>
      <c r="I29" s="33"/>
      <c r="J29" s="48"/>
      <c r="K29" s="33"/>
      <c r="O29" s="33"/>
    </row>
    <row r="30" spans="1:15" ht="16.5">
      <c r="A30" s="34"/>
      <c r="B30" s="13"/>
      <c r="C30" s="13"/>
      <c r="D30" s="13"/>
      <c r="F30" s="47"/>
      <c r="G30" s="47"/>
      <c r="I30" s="34"/>
      <c r="J30" s="48"/>
      <c r="K30" s="34"/>
      <c r="L30" s="48"/>
      <c r="O30" s="34"/>
    </row>
    <row r="31" spans="1:15" ht="16.5">
      <c r="A31" s="34"/>
      <c r="B31" s="13"/>
      <c r="C31" s="13"/>
      <c r="D31" s="13"/>
      <c r="F31" s="47"/>
      <c r="G31" s="47"/>
      <c r="I31" s="34"/>
      <c r="J31" s="48"/>
      <c r="K31" s="34"/>
      <c r="L31" s="48"/>
      <c r="O31" s="34"/>
    </row>
    <row r="32" spans="1:15" ht="16.5">
      <c r="A32" s="34"/>
      <c r="B32" s="13"/>
      <c r="C32" s="13"/>
      <c r="D32" s="13"/>
      <c r="F32" s="47"/>
      <c r="G32" s="47"/>
      <c r="I32" s="34"/>
      <c r="J32" s="48"/>
      <c r="K32" s="34"/>
      <c r="L32" s="48"/>
      <c r="O32" s="34"/>
    </row>
    <row r="33" spans="1:15" ht="16.5">
      <c r="A33" s="34"/>
      <c r="B33" s="13"/>
      <c r="C33" s="13"/>
      <c r="D33" s="13"/>
      <c r="F33" s="47"/>
      <c r="G33" s="47"/>
      <c r="I33" s="34"/>
      <c r="J33" s="48"/>
      <c r="K33" s="34"/>
      <c r="L33" s="48"/>
      <c r="O33" s="34"/>
    </row>
    <row r="34" spans="1:15" ht="16.5">
      <c r="A34" s="34"/>
      <c r="B34" s="13"/>
      <c r="C34" s="13"/>
      <c r="D34" s="13"/>
      <c r="F34" s="47"/>
      <c r="G34" s="47"/>
      <c r="I34" s="34"/>
      <c r="J34" s="48"/>
      <c r="K34" s="34"/>
      <c r="L34" s="48"/>
      <c r="O34" s="34"/>
    </row>
    <row r="35" spans="1:15" ht="16.5">
      <c r="A35" s="34"/>
      <c r="B35" s="13"/>
      <c r="C35" s="13"/>
      <c r="D35" s="13"/>
      <c r="F35" s="47"/>
      <c r="G35" s="47"/>
      <c r="I35" s="34"/>
      <c r="J35" s="48"/>
      <c r="K35" s="34"/>
      <c r="L35" s="48"/>
      <c r="O35" s="34"/>
    </row>
    <row r="36" spans="1:15" ht="16.5">
      <c r="A36" s="34"/>
      <c r="B36" s="13"/>
      <c r="C36" s="13"/>
      <c r="D36" s="13"/>
      <c r="F36" s="47"/>
      <c r="G36" s="47"/>
      <c r="I36" s="34"/>
      <c r="J36" s="48"/>
      <c r="K36" s="34"/>
      <c r="L36" s="48"/>
      <c r="O36" s="34"/>
    </row>
    <row r="37" spans="1:15" ht="16.5">
      <c r="A37" s="34"/>
      <c r="B37" s="13"/>
      <c r="C37" s="13"/>
      <c r="D37" s="13"/>
      <c r="F37" s="47"/>
      <c r="G37" s="47"/>
      <c r="I37" s="34"/>
      <c r="J37" s="48"/>
      <c r="K37" s="34"/>
      <c r="L37" s="48"/>
      <c r="O37" s="34"/>
    </row>
    <row r="38" spans="1:15" ht="16.5">
      <c r="A38" s="34"/>
      <c r="B38" s="13"/>
      <c r="C38" s="13"/>
      <c r="D38" s="13"/>
      <c r="F38" s="47"/>
      <c r="G38" s="47"/>
      <c r="I38" s="34"/>
      <c r="J38" s="48"/>
      <c r="K38" s="34"/>
      <c r="L38" s="48"/>
      <c r="O38" s="34"/>
    </row>
    <row r="39" spans="1:15" ht="16.5">
      <c r="A39" s="34"/>
      <c r="B39" s="13"/>
      <c r="C39" s="13"/>
      <c r="D39" s="13"/>
      <c r="F39" s="47"/>
      <c r="G39" s="47"/>
      <c r="I39" s="34"/>
      <c r="J39" s="48"/>
      <c r="K39" s="34"/>
      <c r="L39" s="48"/>
      <c r="O39" s="34"/>
    </row>
    <row r="40" spans="1:15" ht="16.5">
      <c r="A40" s="34"/>
      <c r="B40" s="13"/>
      <c r="C40" s="13"/>
      <c r="D40" s="13"/>
      <c r="F40" s="47"/>
      <c r="G40" s="47"/>
      <c r="I40" s="34"/>
      <c r="J40" s="48"/>
      <c r="K40" s="34"/>
      <c r="L40" s="48"/>
      <c r="O40" s="34"/>
    </row>
    <row r="41" spans="1:15" ht="16.5">
      <c r="A41" s="34"/>
      <c r="B41" s="13"/>
      <c r="C41" s="13"/>
      <c r="D41" s="13"/>
      <c r="F41" s="47"/>
      <c r="G41" s="47"/>
      <c r="I41" s="34"/>
      <c r="J41" s="48"/>
      <c r="K41" s="34"/>
      <c r="L41" s="48"/>
      <c r="O41" s="34"/>
    </row>
    <row r="42" spans="1:15" ht="16.5">
      <c r="A42" s="34"/>
      <c r="B42" s="13"/>
      <c r="C42" s="13"/>
      <c r="D42" s="13"/>
      <c r="F42" s="47"/>
      <c r="G42" s="47"/>
      <c r="I42" s="34"/>
      <c r="J42" s="48"/>
      <c r="K42" s="34"/>
      <c r="L42" s="48"/>
      <c r="O42" s="34"/>
    </row>
    <row r="43" spans="1:15" ht="16.5">
      <c r="A43" s="34"/>
      <c r="B43" s="13"/>
      <c r="C43" s="13"/>
      <c r="D43" s="13"/>
      <c r="F43" s="47"/>
      <c r="G43" s="47"/>
      <c r="I43" s="34"/>
      <c r="J43" s="48"/>
      <c r="K43" s="34"/>
      <c r="L43" s="48"/>
      <c r="O43" s="34"/>
    </row>
    <row r="44" spans="1:15" ht="16.5">
      <c r="A44" s="34"/>
      <c r="B44" s="13"/>
      <c r="C44" s="13"/>
      <c r="D44" s="13"/>
      <c r="F44" s="47"/>
      <c r="G44" s="47"/>
      <c r="I44" s="34"/>
      <c r="J44" s="48"/>
      <c r="K44" s="34"/>
      <c r="L44" s="48"/>
      <c r="O44" s="34"/>
    </row>
    <row r="45" spans="1:15" ht="16.5">
      <c r="A45" s="34"/>
      <c r="B45" s="13"/>
      <c r="C45" s="13"/>
      <c r="D45" s="13"/>
      <c r="F45" s="47"/>
      <c r="G45" s="47"/>
      <c r="I45" s="34"/>
      <c r="J45" s="48"/>
      <c r="K45" s="34"/>
      <c r="L45" s="48"/>
      <c r="O45" s="34"/>
    </row>
    <row r="46" spans="1:15" ht="16.5">
      <c r="A46" s="34"/>
      <c r="B46" s="13"/>
      <c r="C46" s="13"/>
      <c r="D46" s="49"/>
      <c r="F46" s="47"/>
      <c r="G46" s="53"/>
      <c r="I46" s="34"/>
      <c r="J46" s="48"/>
      <c r="K46" s="34"/>
      <c r="L46" s="48"/>
      <c r="O46" s="34"/>
    </row>
    <row r="47" spans="1:15" ht="16.5">
      <c r="A47" s="34"/>
      <c r="B47" s="13"/>
      <c r="C47" s="13"/>
      <c r="D47" s="13"/>
      <c r="F47" s="47"/>
      <c r="G47" s="47"/>
      <c r="I47" s="34"/>
      <c r="J47" s="48"/>
      <c r="K47" s="34"/>
      <c r="L47" s="48"/>
      <c r="O47" s="34"/>
    </row>
    <row r="48" spans="1:15" ht="16.5">
      <c r="A48" s="34"/>
      <c r="B48" s="13"/>
      <c r="C48" s="13"/>
      <c r="D48" s="13"/>
      <c r="F48" s="47"/>
      <c r="G48" s="47"/>
      <c r="I48" s="46"/>
      <c r="J48" s="48"/>
      <c r="K48" s="34"/>
      <c r="L48" s="48"/>
      <c r="O48" s="34"/>
    </row>
    <row r="49" spans="1:15" ht="16.5">
      <c r="A49" s="34"/>
      <c r="B49" s="13"/>
      <c r="C49" s="13"/>
      <c r="D49" s="13"/>
      <c r="F49" s="47"/>
      <c r="G49" s="47"/>
      <c r="I49" s="34"/>
      <c r="J49" s="48"/>
      <c r="K49" s="34"/>
      <c r="L49" s="48"/>
      <c r="O49" s="34"/>
    </row>
    <row r="50" spans="1:15" ht="16.5">
      <c r="A50" s="34"/>
      <c r="B50" s="13"/>
      <c r="C50" s="13"/>
      <c r="D50" s="13"/>
      <c r="F50" s="47"/>
      <c r="G50" s="47"/>
      <c r="I50" s="34"/>
      <c r="J50" s="48"/>
      <c r="K50" s="34"/>
      <c r="L50" s="48"/>
      <c r="O50" s="34"/>
    </row>
    <row r="51" spans="1:15" ht="16.5">
      <c r="A51" s="34"/>
      <c r="B51" s="13"/>
      <c r="C51" s="13"/>
      <c r="D51" s="13"/>
      <c r="F51" s="47"/>
      <c r="G51" s="47"/>
      <c r="I51" s="34"/>
      <c r="J51" s="48"/>
      <c r="K51" s="34"/>
      <c r="L51" s="48"/>
      <c r="O51" s="34"/>
    </row>
    <row r="52" spans="1:15" ht="16.5">
      <c r="A52" s="34"/>
      <c r="B52" s="13"/>
      <c r="C52" s="13"/>
      <c r="D52" s="49"/>
      <c r="F52" s="47"/>
      <c r="G52" s="47"/>
      <c r="I52" s="34"/>
      <c r="J52" s="48"/>
      <c r="K52" s="34"/>
      <c r="L52" s="48"/>
      <c r="O52" s="34"/>
    </row>
    <row r="53" spans="1:15" ht="16.5">
      <c r="A53" s="46"/>
      <c r="B53" s="13"/>
      <c r="C53" s="13"/>
      <c r="D53" s="13"/>
      <c r="F53" s="47"/>
      <c r="G53" s="47"/>
      <c r="I53" s="46"/>
      <c r="J53" s="48"/>
      <c r="K53" s="34"/>
      <c r="L53" s="48"/>
      <c r="O53" s="34"/>
    </row>
    <row r="54" spans="1:15" ht="16.5">
      <c r="A54" s="34"/>
      <c r="B54" s="13"/>
      <c r="C54" s="13"/>
      <c r="D54" s="13"/>
      <c r="F54" s="47"/>
      <c r="G54" s="47"/>
      <c r="I54" s="34"/>
      <c r="J54" s="48"/>
      <c r="K54" s="34"/>
      <c r="L54" s="48"/>
      <c r="O54" s="34"/>
    </row>
    <row r="55" spans="1:15" ht="16.5">
      <c r="A55" s="46"/>
      <c r="B55" s="13"/>
      <c r="C55" s="49"/>
      <c r="D55" s="13"/>
      <c r="F55" s="47"/>
      <c r="G55" s="47"/>
      <c r="H55" s="14"/>
      <c r="J55" s="48"/>
      <c r="K55" s="13"/>
      <c r="L55" s="48"/>
      <c r="O55" s="13"/>
    </row>
    <row r="56" spans="2:18" ht="15.75">
      <c r="B56" s="13"/>
      <c r="C56" s="13"/>
      <c r="D56" s="13"/>
      <c r="F56" s="52"/>
      <c r="G56" s="51"/>
      <c r="R56" s="14"/>
    </row>
    <row r="57" spans="1:7" ht="16.5">
      <c r="A57" s="34"/>
      <c r="B57" s="36"/>
      <c r="C57" s="36"/>
      <c r="D57" s="36"/>
      <c r="E57" s="14"/>
      <c r="G57" s="14"/>
    </row>
    <row r="58" spans="2:4" ht="15.75">
      <c r="B58" s="14"/>
      <c r="C58" s="14"/>
      <c r="D58" s="36"/>
    </row>
    <row r="59" spans="2:4" ht="15.75">
      <c r="B59" s="36"/>
      <c r="C59" s="36"/>
      <c r="D59" s="36"/>
    </row>
    <row r="60" spans="2:4" ht="15.75">
      <c r="B60" s="13"/>
      <c r="C60" s="14"/>
      <c r="D60" s="13"/>
    </row>
  </sheetData>
  <mergeCells count="30">
    <mergeCell ref="W6:W9"/>
    <mergeCell ref="V6:V9"/>
    <mergeCell ref="U6:U9"/>
    <mergeCell ref="T5:T9"/>
    <mergeCell ref="S5:S9"/>
    <mergeCell ref="K4:N4"/>
    <mergeCell ref="P4:T4"/>
    <mergeCell ref="U4:AB4"/>
    <mergeCell ref="AB5:AB9"/>
    <mergeCell ref="AA6:AA9"/>
    <mergeCell ref="Z6:Z9"/>
    <mergeCell ref="X6:X9"/>
    <mergeCell ref="R6:R9"/>
    <mergeCell ref="Q6:Q9"/>
    <mergeCell ref="G6:G9"/>
    <mergeCell ref="F6:F9"/>
    <mergeCell ref="B5:B9"/>
    <mergeCell ref="C5:C9"/>
    <mergeCell ref="D5:D9"/>
    <mergeCell ref="E5:E9"/>
    <mergeCell ref="J5:J9"/>
    <mergeCell ref="Y6:Y9"/>
    <mergeCell ref="AC4:AC9"/>
    <mergeCell ref="H6:H9"/>
    <mergeCell ref="I6:I9"/>
    <mergeCell ref="K6:K9"/>
    <mergeCell ref="L6:L9"/>
    <mergeCell ref="M6:M9"/>
    <mergeCell ref="N6:N9"/>
    <mergeCell ref="P6:P9"/>
  </mergeCells>
  <printOptions horizontalCentered="1" verticalCentered="1"/>
  <pageMargins left="0.5511811023622047" right="0.5511811023622047" top="0.88" bottom="0.8267716535433072" header="0.8267716535433072" footer="0.5118110236220472"/>
  <pageSetup horizontalDpi="600" verticalDpi="600" orientation="portrait" pageOrder="overThenDown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27"/>
  <sheetViews>
    <sheetView zoomScale="75" zoomScaleNormal="75" workbookViewId="0" topLeftCell="A6">
      <pane xSplit="1" ySplit="5" topLeftCell="B11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ColWidth="9.00390625" defaultRowHeight="15.75"/>
  <cols>
    <col min="1" max="1" width="27.375" style="83" customWidth="1"/>
    <col min="2" max="2" width="10.125" style="83" customWidth="1"/>
    <col min="3" max="3" width="10.00390625" style="83" customWidth="1"/>
    <col min="4" max="4" width="8.75390625" style="83" customWidth="1"/>
    <col min="5" max="6" width="9.00390625" style="83" customWidth="1"/>
    <col min="7" max="7" width="11.00390625" style="83" customWidth="1"/>
    <col min="8" max="8" width="11.50390625" style="83" customWidth="1"/>
    <col min="9" max="9" width="9.00390625" style="83" customWidth="1"/>
    <col min="10" max="10" width="11.50390625" style="83" customWidth="1"/>
    <col min="11" max="12" width="9.875" style="83" customWidth="1"/>
    <col min="13" max="13" width="10.125" style="83" customWidth="1"/>
    <col min="14" max="14" width="11.00390625" style="83" customWidth="1"/>
    <col min="15" max="15" width="11.875" style="83" customWidth="1"/>
    <col min="16" max="16" width="10.625" style="83" customWidth="1"/>
    <col min="17" max="17" width="11.25390625" style="83" customWidth="1"/>
    <col min="18" max="18" width="11.50390625" style="83" customWidth="1"/>
    <col min="19" max="20" width="9.00390625" style="83" customWidth="1"/>
    <col min="21" max="23" width="9.75390625" style="83" bestFit="1" customWidth="1"/>
    <col min="24" max="24" width="9.375" style="83" customWidth="1"/>
    <col min="25" max="25" width="9.75390625" style="83" bestFit="1" customWidth="1"/>
    <col min="26" max="26" width="9.25390625" style="83" bestFit="1" customWidth="1"/>
    <col min="27" max="27" width="10.375" style="83" customWidth="1"/>
    <col min="28" max="28" width="12.25390625" style="83" customWidth="1"/>
    <col min="29" max="16384" width="9.00390625" style="83" customWidth="1"/>
  </cols>
  <sheetData>
    <row r="1" spans="1:20" s="68" customFormat="1" ht="21">
      <c r="A1" s="67"/>
      <c r="B1" s="83"/>
      <c r="C1" s="83"/>
      <c r="D1" s="83"/>
      <c r="E1" s="2"/>
      <c r="F1" s="15" t="s">
        <v>95</v>
      </c>
      <c r="G1" s="16" t="s">
        <v>96</v>
      </c>
      <c r="S1" s="15" t="s">
        <v>95</v>
      </c>
      <c r="T1" s="16" t="s">
        <v>96</v>
      </c>
    </row>
    <row r="2" spans="4:20" s="68" customFormat="1" ht="27.75">
      <c r="D2" s="1"/>
      <c r="E2" s="1"/>
      <c r="F2" s="17" t="s">
        <v>97</v>
      </c>
      <c r="G2" s="18" t="s">
        <v>98</v>
      </c>
      <c r="S2" s="17" t="s">
        <v>97</v>
      </c>
      <c r="T2" s="18" t="s">
        <v>98</v>
      </c>
    </row>
    <row r="3" spans="6:28" s="68" customFormat="1" ht="16.5">
      <c r="F3" s="19" t="s">
        <v>126</v>
      </c>
      <c r="G3" s="35" t="s">
        <v>127</v>
      </c>
      <c r="M3" s="20" t="s">
        <v>0</v>
      </c>
      <c r="S3" s="19" t="s">
        <v>126</v>
      </c>
      <c r="T3" s="35" t="s">
        <v>127</v>
      </c>
      <c r="AB3" s="20" t="s">
        <v>0</v>
      </c>
    </row>
    <row r="4" spans="1:28" s="68" customFormat="1" ht="30" customHeight="1">
      <c r="A4" s="21" t="s">
        <v>128</v>
      </c>
      <c r="B4" s="22" t="s">
        <v>186</v>
      </c>
      <c r="C4" s="69"/>
      <c r="D4" s="69"/>
      <c r="E4" s="69"/>
      <c r="F4" s="69"/>
      <c r="G4" s="69"/>
      <c r="H4" s="69"/>
      <c r="I4" s="69"/>
      <c r="J4" s="70"/>
      <c r="K4" s="23" t="s">
        <v>187</v>
      </c>
      <c r="L4" s="71"/>
      <c r="M4" s="71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3"/>
      <c r="AB4" s="74"/>
    </row>
    <row r="5" spans="1:28" s="78" customFormat="1" ht="25.5" customHeight="1">
      <c r="A5" s="24" t="s">
        <v>129</v>
      </c>
      <c r="B5" s="25" t="s">
        <v>4</v>
      </c>
      <c r="C5" s="25" t="s">
        <v>5</v>
      </c>
      <c r="D5" s="25" t="s">
        <v>6</v>
      </c>
      <c r="E5" s="25" t="s">
        <v>7</v>
      </c>
      <c r="F5" s="26" t="s">
        <v>188</v>
      </c>
      <c r="G5" s="75"/>
      <c r="H5" s="75"/>
      <c r="I5" s="76"/>
      <c r="J5" s="44" t="s">
        <v>112</v>
      </c>
      <c r="K5" s="26" t="s">
        <v>189</v>
      </c>
      <c r="L5" s="75"/>
      <c r="M5" s="76"/>
      <c r="N5" s="26" t="s">
        <v>190</v>
      </c>
      <c r="O5" s="75"/>
      <c r="P5" s="75"/>
      <c r="Q5" s="76"/>
      <c r="R5" s="25" t="s">
        <v>11</v>
      </c>
      <c r="S5" s="25" t="s">
        <v>12</v>
      </c>
      <c r="T5" s="26" t="s">
        <v>191</v>
      </c>
      <c r="U5" s="75"/>
      <c r="V5" s="75"/>
      <c r="W5" s="75"/>
      <c r="X5" s="75"/>
      <c r="Y5" s="75"/>
      <c r="Z5" s="77"/>
      <c r="AA5" s="25" t="s">
        <v>13</v>
      </c>
      <c r="AB5" s="27" t="s">
        <v>14</v>
      </c>
    </row>
    <row r="6" spans="1:28" s="68" customFormat="1" ht="16.5">
      <c r="A6" s="79"/>
      <c r="B6" s="80"/>
      <c r="C6" s="28" t="s">
        <v>15</v>
      </c>
      <c r="D6" s="28" t="s">
        <v>16</v>
      </c>
      <c r="E6" s="28" t="s">
        <v>192</v>
      </c>
      <c r="F6" s="80"/>
      <c r="G6" s="80"/>
      <c r="H6" s="80"/>
      <c r="I6" s="80"/>
      <c r="J6" s="28" t="s">
        <v>193</v>
      </c>
      <c r="K6" s="80"/>
      <c r="L6" s="43" t="s">
        <v>194</v>
      </c>
      <c r="M6" s="43" t="s">
        <v>195</v>
      </c>
      <c r="N6" s="80" t="s">
        <v>17</v>
      </c>
      <c r="O6" s="80"/>
      <c r="P6" s="80"/>
      <c r="Q6" s="80"/>
      <c r="R6" s="28" t="s">
        <v>18</v>
      </c>
      <c r="S6" s="28" t="s">
        <v>196</v>
      </c>
      <c r="T6" s="80" t="s">
        <v>17</v>
      </c>
      <c r="U6" s="80" t="s">
        <v>17</v>
      </c>
      <c r="V6" s="80"/>
      <c r="W6" s="80"/>
      <c r="X6" s="107" t="s">
        <v>183</v>
      </c>
      <c r="Y6" s="80"/>
      <c r="Z6" s="80"/>
      <c r="AA6" s="28" t="s">
        <v>197</v>
      </c>
      <c r="AB6" s="81"/>
    </row>
    <row r="7" spans="1:28" s="68" customFormat="1" ht="16.5">
      <c r="A7" s="79"/>
      <c r="B7" s="28" t="s">
        <v>19</v>
      </c>
      <c r="C7" s="28" t="s">
        <v>198</v>
      </c>
      <c r="D7" s="80"/>
      <c r="E7" s="80" t="s">
        <v>17</v>
      </c>
      <c r="F7" s="28" t="s">
        <v>20</v>
      </c>
      <c r="G7" s="28" t="s">
        <v>21</v>
      </c>
      <c r="H7" s="28" t="s">
        <v>20</v>
      </c>
      <c r="I7" s="28" t="s">
        <v>20</v>
      </c>
      <c r="J7" s="80"/>
      <c r="K7" s="28" t="s">
        <v>22</v>
      </c>
      <c r="L7" s="28" t="s">
        <v>199</v>
      </c>
      <c r="M7" s="28" t="s">
        <v>23</v>
      </c>
      <c r="N7" s="28" t="s">
        <v>20</v>
      </c>
      <c r="O7" s="28" t="s">
        <v>21</v>
      </c>
      <c r="P7" s="28" t="s">
        <v>20</v>
      </c>
      <c r="Q7" s="28" t="s">
        <v>20</v>
      </c>
      <c r="R7" s="80"/>
      <c r="S7" s="80"/>
      <c r="T7" s="28" t="s">
        <v>24</v>
      </c>
      <c r="U7" s="28" t="s">
        <v>25</v>
      </c>
      <c r="V7" s="28" t="s">
        <v>26</v>
      </c>
      <c r="W7" s="28" t="s">
        <v>27</v>
      </c>
      <c r="X7" s="108"/>
      <c r="Y7" s="28" t="s">
        <v>28</v>
      </c>
      <c r="Z7" s="28" t="s">
        <v>29</v>
      </c>
      <c r="AA7" s="80"/>
      <c r="AB7" s="81"/>
    </row>
    <row r="8" spans="1:28" s="68" customFormat="1" ht="16.5">
      <c r="A8" s="29" t="s">
        <v>130</v>
      </c>
      <c r="B8" s="80"/>
      <c r="C8" s="28" t="s">
        <v>31</v>
      </c>
      <c r="D8" s="28" t="s">
        <v>32</v>
      </c>
      <c r="E8" s="28" t="s">
        <v>200</v>
      </c>
      <c r="F8" s="28" t="s">
        <v>33</v>
      </c>
      <c r="G8" s="28" t="s">
        <v>34</v>
      </c>
      <c r="H8" s="28" t="s">
        <v>35</v>
      </c>
      <c r="I8" s="28" t="s">
        <v>36</v>
      </c>
      <c r="J8" s="28" t="s">
        <v>201</v>
      </c>
      <c r="K8" s="80"/>
      <c r="L8" s="28" t="s">
        <v>202</v>
      </c>
      <c r="M8" s="80"/>
      <c r="N8" s="28" t="s">
        <v>33</v>
      </c>
      <c r="O8" s="28" t="s">
        <v>34</v>
      </c>
      <c r="P8" s="28" t="s">
        <v>35</v>
      </c>
      <c r="Q8" s="28" t="s">
        <v>36</v>
      </c>
      <c r="R8" s="28" t="s">
        <v>37</v>
      </c>
      <c r="S8" s="28" t="s">
        <v>203</v>
      </c>
      <c r="T8" s="80"/>
      <c r="U8" s="28" t="s">
        <v>24</v>
      </c>
      <c r="V8" s="80"/>
      <c r="W8" s="80"/>
      <c r="X8" s="108"/>
      <c r="Y8" s="28" t="s">
        <v>38</v>
      </c>
      <c r="Z8" s="80"/>
      <c r="AA8" s="28" t="s">
        <v>201</v>
      </c>
      <c r="AB8" s="30" t="s">
        <v>39</v>
      </c>
    </row>
    <row r="9" spans="1:28" s="68" customFormat="1" ht="16.5">
      <c r="A9" s="31" t="s">
        <v>129</v>
      </c>
      <c r="B9" s="32" t="s">
        <v>40</v>
      </c>
      <c r="C9" s="32" t="s">
        <v>41</v>
      </c>
      <c r="D9" s="32" t="s">
        <v>42</v>
      </c>
      <c r="E9" s="32" t="s">
        <v>43</v>
      </c>
      <c r="F9" s="32" t="s">
        <v>44</v>
      </c>
      <c r="G9" s="32" t="s">
        <v>45</v>
      </c>
      <c r="H9" s="32" t="s">
        <v>46</v>
      </c>
      <c r="I9" s="32" t="s">
        <v>47</v>
      </c>
      <c r="J9" s="32" t="s">
        <v>48</v>
      </c>
      <c r="K9" s="32" t="s">
        <v>49</v>
      </c>
      <c r="L9" s="32" t="s">
        <v>204</v>
      </c>
      <c r="M9" s="32" t="s">
        <v>51</v>
      </c>
      <c r="N9" s="32" t="s">
        <v>44</v>
      </c>
      <c r="O9" s="32" t="s">
        <v>205</v>
      </c>
      <c r="P9" s="32" t="s">
        <v>46</v>
      </c>
      <c r="Q9" s="32" t="s">
        <v>47</v>
      </c>
      <c r="R9" s="32" t="s">
        <v>52</v>
      </c>
      <c r="S9" s="32" t="s">
        <v>53</v>
      </c>
      <c r="T9" s="32" t="s">
        <v>54</v>
      </c>
      <c r="U9" s="32" t="s">
        <v>54</v>
      </c>
      <c r="V9" s="32" t="s">
        <v>55</v>
      </c>
      <c r="W9" s="32" t="s">
        <v>56</v>
      </c>
      <c r="X9" s="109"/>
      <c r="Y9" s="32" t="s">
        <v>57</v>
      </c>
      <c r="Z9" s="32" t="s">
        <v>58</v>
      </c>
      <c r="AA9" s="32" t="s">
        <v>48</v>
      </c>
      <c r="AB9" s="82"/>
    </row>
    <row r="10" spans="1:28" ht="30" customHeight="1">
      <c r="A10" s="79" t="s">
        <v>131</v>
      </c>
      <c r="B10" s="3">
        <f aca="true" t="shared" si="0" ref="B10:AB10">SUM(B11:B25)</f>
        <v>28936101</v>
      </c>
      <c r="C10" s="3">
        <f t="shared" si="0"/>
        <v>6789422</v>
      </c>
      <c r="D10" s="3">
        <f t="shared" si="0"/>
        <v>0</v>
      </c>
      <c r="E10" s="3">
        <f t="shared" si="0"/>
        <v>112818</v>
      </c>
      <c r="F10" s="3">
        <f t="shared" si="0"/>
        <v>0</v>
      </c>
      <c r="G10" s="3">
        <f t="shared" si="0"/>
        <v>72020683</v>
      </c>
      <c r="H10" s="3">
        <f t="shared" si="0"/>
        <v>28659516</v>
      </c>
      <c r="I10" s="3">
        <f t="shared" si="0"/>
        <v>696</v>
      </c>
      <c r="J10" s="3">
        <f t="shared" si="0"/>
        <v>136519236</v>
      </c>
      <c r="K10" s="3">
        <f t="shared" si="0"/>
        <v>0</v>
      </c>
      <c r="L10" s="3">
        <f t="shared" si="0"/>
        <v>545186</v>
      </c>
      <c r="M10" s="3">
        <f t="shared" si="0"/>
        <v>0</v>
      </c>
      <c r="N10" s="3">
        <f t="shared" si="0"/>
        <v>0</v>
      </c>
      <c r="O10" s="3">
        <f t="shared" si="0"/>
        <v>319107</v>
      </c>
      <c r="P10" s="3">
        <f t="shared" si="0"/>
        <v>24539000</v>
      </c>
      <c r="Q10" s="3">
        <f t="shared" si="0"/>
        <v>0</v>
      </c>
      <c r="R10" s="3">
        <f t="shared" si="0"/>
        <v>657288</v>
      </c>
      <c r="S10" s="3">
        <f t="shared" si="0"/>
        <v>0</v>
      </c>
      <c r="T10" s="3">
        <f t="shared" si="0"/>
        <v>0</v>
      </c>
      <c r="U10" s="3">
        <f t="shared" si="0"/>
        <v>835933</v>
      </c>
      <c r="V10" s="3">
        <f t="shared" si="0"/>
        <v>8605428</v>
      </c>
      <c r="W10" s="3">
        <f t="shared" si="0"/>
        <v>155467</v>
      </c>
      <c r="X10" s="3">
        <f>SUM(X11:X25)</f>
        <v>666732</v>
      </c>
      <c r="Y10" s="3">
        <f t="shared" si="0"/>
        <v>1734290</v>
      </c>
      <c r="Z10" s="3">
        <f t="shared" si="0"/>
        <v>239915</v>
      </c>
      <c r="AA10" s="3">
        <f t="shared" si="0"/>
        <v>38298346</v>
      </c>
      <c r="AB10" s="5">
        <f t="shared" si="0"/>
        <v>174817582</v>
      </c>
    </row>
    <row r="11" spans="1:28" ht="30" customHeight="1">
      <c r="A11" s="10" t="s">
        <v>60</v>
      </c>
      <c r="B11" s="93">
        <f>2146920-2</f>
        <v>2146918</v>
      </c>
      <c r="C11" s="93">
        <f>1627217-4073</f>
        <v>1623144</v>
      </c>
      <c r="D11" s="3"/>
      <c r="E11" s="3">
        <v>8222</v>
      </c>
      <c r="F11" s="3"/>
      <c r="G11" s="93">
        <f>78818-4</f>
        <v>78814</v>
      </c>
      <c r="H11" s="93">
        <f>607393-20</f>
        <v>607373</v>
      </c>
      <c r="I11" s="3">
        <v>200</v>
      </c>
      <c r="J11" s="3">
        <f aca="true" t="shared" si="1" ref="J11:J25">SUM(B11:I11)</f>
        <v>4464671</v>
      </c>
      <c r="K11" s="3"/>
      <c r="L11" s="3">
        <v>400000</v>
      </c>
      <c r="M11" s="3"/>
      <c r="N11" s="3"/>
      <c r="O11" s="3">
        <v>14800</v>
      </c>
      <c r="P11" s="93">
        <f>1027686-53811</f>
        <v>973875</v>
      </c>
      <c r="Q11" s="3"/>
      <c r="R11" s="3"/>
      <c r="S11" s="3"/>
      <c r="T11" s="3"/>
      <c r="U11" s="3">
        <v>1050</v>
      </c>
      <c r="V11" s="3"/>
      <c r="W11" s="3">
        <v>6947</v>
      </c>
      <c r="X11" s="3">
        <v>80612</v>
      </c>
      <c r="Y11" s="3">
        <v>314870</v>
      </c>
      <c r="Z11" s="3"/>
      <c r="AA11" s="3">
        <f>SUM(K11:Z11)</f>
        <v>1792154</v>
      </c>
      <c r="AB11" s="4">
        <f aca="true" t="shared" si="2" ref="AB11:AB25">SUM(J11,AA11)</f>
        <v>6256825</v>
      </c>
    </row>
    <row r="12" spans="1:28" ht="30" customHeight="1">
      <c r="A12" s="12" t="s">
        <v>132</v>
      </c>
      <c r="B12" s="3">
        <v>3181568</v>
      </c>
      <c r="C12" s="3">
        <v>193185</v>
      </c>
      <c r="D12" s="3"/>
      <c r="E12" s="3"/>
      <c r="F12" s="3"/>
      <c r="G12" s="3">
        <v>93735</v>
      </c>
      <c r="H12" s="3">
        <v>552426</v>
      </c>
      <c r="I12" s="3"/>
      <c r="J12" s="3">
        <f t="shared" si="1"/>
        <v>4020914</v>
      </c>
      <c r="K12" s="3"/>
      <c r="L12" s="3"/>
      <c r="M12" s="3"/>
      <c r="N12" s="3"/>
      <c r="O12" s="3"/>
      <c r="P12" s="3">
        <v>58985</v>
      </c>
      <c r="Q12" s="3"/>
      <c r="R12" s="3"/>
      <c r="S12" s="3"/>
      <c r="T12" s="3"/>
      <c r="U12" s="3"/>
      <c r="V12" s="3"/>
      <c r="W12" s="3">
        <v>2678</v>
      </c>
      <c r="X12" s="3">
        <v>1037</v>
      </c>
      <c r="Y12" s="3">
        <v>16636</v>
      </c>
      <c r="Z12" s="3"/>
      <c r="AA12" s="3">
        <f aca="true" t="shared" si="3" ref="AA12:AA25">SUM(K12:Z12)</f>
        <v>79336</v>
      </c>
      <c r="AB12" s="4">
        <f t="shared" si="2"/>
        <v>4100250</v>
      </c>
    </row>
    <row r="13" spans="1:28" ht="30" customHeight="1">
      <c r="A13" s="10" t="s">
        <v>62</v>
      </c>
      <c r="B13" s="3">
        <v>18967214</v>
      </c>
      <c r="C13" s="3">
        <v>2848987</v>
      </c>
      <c r="D13" s="3"/>
      <c r="E13" s="3">
        <v>103594</v>
      </c>
      <c r="F13" s="3"/>
      <c r="G13" s="3">
        <v>175603</v>
      </c>
      <c r="H13" s="3">
        <v>462364</v>
      </c>
      <c r="I13" s="3">
        <v>50</v>
      </c>
      <c r="J13" s="3">
        <f t="shared" si="1"/>
        <v>22557812</v>
      </c>
      <c r="K13" s="3"/>
      <c r="L13" s="3"/>
      <c r="M13" s="3"/>
      <c r="N13" s="3"/>
      <c r="O13" s="3">
        <f>45107</f>
        <v>45107</v>
      </c>
      <c r="P13" s="3">
        <v>184031</v>
      </c>
      <c r="Q13" s="3"/>
      <c r="R13" s="3">
        <v>26824</v>
      </c>
      <c r="S13" s="3"/>
      <c r="T13" s="3"/>
      <c r="U13" s="93">
        <f>613667-35410-34903</f>
        <v>543354</v>
      </c>
      <c r="V13" s="3"/>
      <c r="W13" s="3">
        <v>136383</v>
      </c>
      <c r="X13" s="3">
        <v>514082</v>
      </c>
      <c r="Y13" s="3">
        <v>918550</v>
      </c>
      <c r="Z13" s="3"/>
      <c r="AA13" s="3">
        <f t="shared" si="3"/>
        <v>2368331</v>
      </c>
      <c r="AB13" s="4">
        <f t="shared" si="2"/>
        <v>24926143</v>
      </c>
    </row>
    <row r="14" spans="1:28" ht="30" customHeight="1">
      <c r="A14" s="10" t="s">
        <v>63</v>
      </c>
      <c r="B14" s="3">
        <v>561287</v>
      </c>
      <c r="C14" s="93">
        <f>292349-3579</f>
        <v>288770</v>
      </c>
      <c r="D14" s="3"/>
      <c r="E14" s="3"/>
      <c r="F14" s="3"/>
      <c r="G14" s="3">
        <v>1006971</v>
      </c>
      <c r="H14" s="3"/>
      <c r="I14" s="3">
        <v>4</v>
      </c>
      <c r="J14" s="3">
        <f t="shared" si="1"/>
        <v>1857032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>
        <v>8676</v>
      </c>
      <c r="W14" s="3"/>
      <c r="X14" s="3">
        <v>2959</v>
      </c>
      <c r="Y14" s="3">
        <v>126636</v>
      </c>
      <c r="Z14" s="3"/>
      <c r="AA14" s="3">
        <f t="shared" si="3"/>
        <v>138271</v>
      </c>
      <c r="AB14" s="4">
        <f t="shared" si="2"/>
        <v>1995303</v>
      </c>
    </row>
    <row r="15" spans="1:28" ht="30" customHeight="1">
      <c r="A15" s="10" t="s">
        <v>64</v>
      </c>
      <c r="B15" s="3"/>
      <c r="C15" s="3"/>
      <c r="D15" s="3"/>
      <c r="E15" s="3"/>
      <c r="F15" s="3"/>
      <c r="G15" s="3"/>
      <c r="H15" s="3"/>
      <c r="I15" s="3"/>
      <c r="J15" s="3">
        <f t="shared" si="1"/>
        <v>0</v>
      </c>
      <c r="K15" s="3"/>
      <c r="AA15" s="3">
        <f t="shared" si="3"/>
        <v>0</v>
      </c>
      <c r="AB15" s="4">
        <f t="shared" si="2"/>
        <v>0</v>
      </c>
    </row>
    <row r="16" spans="1:28" ht="30" customHeight="1">
      <c r="A16" s="10" t="s">
        <v>65</v>
      </c>
      <c r="B16" s="3">
        <v>2098429</v>
      </c>
      <c r="C16" s="93">
        <f>301485-242</f>
        <v>301243</v>
      </c>
      <c r="D16" s="3"/>
      <c r="E16" s="3"/>
      <c r="F16" s="3"/>
      <c r="G16" s="93">
        <f>66581106-125468-15457+2</f>
        <v>66440183</v>
      </c>
      <c r="H16" s="93">
        <f>22338694-29453-60071</f>
        <v>22249170</v>
      </c>
      <c r="I16" s="3"/>
      <c r="J16" s="3">
        <f t="shared" si="1"/>
        <v>91089025</v>
      </c>
      <c r="K16" s="3"/>
      <c r="L16" s="3"/>
      <c r="M16" s="3"/>
      <c r="N16" s="3"/>
      <c r="O16" s="93">
        <f>253396-19991-4</f>
        <v>233401</v>
      </c>
      <c r="P16" s="93">
        <f>27333-306</f>
        <v>27027</v>
      </c>
      <c r="Q16" s="3"/>
      <c r="R16" s="3"/>
      <c r="S16" s="3"/>
      <c r="T16" s="3"/>
      <c r="U16" s="3"/>
      <c r="V16" s="3"/>
      <c r="W16" s="3"/>
      <c r="X16" s="3">
        <v>10061</v>
      </c>
      <c r="Y16" s="3">
        <v>10550</v>
      </c>
      <c r="Z16" s="3"/>
      <c r="AA16" s="3">
        <f>SUM(K16:Z16)</f>
        <v>281039</v>
      </c>
      <c r="AB16" s="4">
        <f t="shared" si="2"/>
        <v>91370064</v>
      </c>
    </row>
    <row r="17" spans="1:28" ht="30" customHeight="1">
      <c r="A17" s="10" t="s">
        <v>66</v>
      </c>
      <c r="B17" s="3">
        <v>1258</v>
      </c>
      <c r="C17" s="3">
        <v>85745</v>
      </c>
      <c r="D17" s="3"/>
      <c r="E17" s="3"/>
      <c r="F17" s="3"/>
      <c r="G17" s="3"/>
      <c r="H17" s="3">
        <v>174076</v>
      </c>
      <c r="I17" s="3"/>
      <c r="J17" s="3">
        <f t="shared" si="1"/>
        <v>261079</v>
      </c>
      <c r="K17" s="3"/>
      <c r="L17" s="3">
        <v>100000</v>
      </c>
      <c r="M17" s="3"/>
      <c r="N17" s="3"/>
      <c r="O17" s="3"/>
      <c r="P17" s="3">
        <v>10717711</v>
      </c>
      <c r="Q17" s="3"/>
      <c r="R17" s="3"/>
      <c r="S17" s="3"/>
      <c r="T17" s="3"/>
      <c r="U17" s="3"/>
      <c r="V17" s="3">
        <v>1618399</v>
      </c>
      <c r="W17" s="3"/>
      <c r="X17" s="3"/>
      <c r="Y17" s="3"/>
      <c r="Z17" s="3">
        <v>64</v>
      </c>
      <c r="AA17" s="3">
        <f t="shared" si="3"/>
        <v>12436174</v>
      </c>
      <c r="AB17" s="4">
        <f t="shared" si="2"/>
        <v>12697253</v>
      </c>
    </row>
    <row r="18" spans="1:28" ht="30" customHeight="1">
      <c r="A18" s="12" t="s">
        <v>67</v>
      </c>
      <c r="B18" s="3"/>
      <c r="C18" s="3"/>
      <c r="D18" s="3"/>
      <c r="E18" s="3"/>
      <c r="F18" s="3"/>
      <c r="G18" s="3"/>
      <c r="H18" s="3"/>
      <c r="I18" s="3"/>
      <c r="J18" s="3">
        <f t="shared" si="1"/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3"/>
        <v>0</v>
      </c>
      <c r="AB18" s="4">
        <f t="shared" si="2"/>
        <v>0</v>
      </c>
    </row>
    <row r="19" spans="1:28" ht="30" customHeight="1">
      <c r="A19" s="12" t="s">
        <v>68</v>
      </c>
      <c r="B19" s="3"/>
      <c r="C19" s="3"/>
      <c r="D19" s="3"/>
      <c r="E19" s="3"/>
      <c r="F19" s="3"/>
      <c r="G19" s="3"/>
      <c r="H19" s="3"/>
      <c r="I19" s="3"/>
      <c r="J19" s="3">
        <f t="shared" si="1"/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3"/>
        <v>0</v>
      </c>
      <c r="AB19" s="4">
        <f t="shared" si="2"/>
        <v>0</v>
      </c>
    </row>
    <row r="20" spans="1:28" ht="30" customHeight="1">
      <c r="A20" s="10" t="s">
        <v>69</v>
      </c>
      <c r="B20" s="3"/>
      <c r="C20" s="3"/>
      <c r="D20" s="3"/>
      <c r="E20" s="3"/>
      <c r="F20" s="3"/>
      <c r="G20" s="3"/>
      <c r="H20" s="3"/>
      <c r="I20" s="3"/>
      <c r="J20" s="3">
        <f t="shared" si="1"/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3"/>
        <v>0</v>
      </c>
      <c r="AB20" s="4">
        <f t="shared" si="2"/>
        <v>0</v>
      </c>
    </row>
    <row r="21" spans="1:28" ht="30" customHeight="1">
      <c r="A21" s="12" t="s">
        <v>70</v>
      </c>
      <c r="B21" s="3">
        <v>1061080</v>
      </c>
      <c r="C21" s="93">
        <f>418184-27060</f>
        <v>391124</v>
      </c>
      <c r="D21" s="3"/>
      <c r="E21" s="3"/>
      <c r="F21" s="3"/>
      <c r="G21" s="93">
        <f>4492252-268850</f>
        <v>4223402</v>
      </c>
      <c r="H21" s="3">
        <v>4603986</v>
      </c>
      <c r="I21" s="3">
        <v>442</v>
      </c>
      <c r="J21" s="3">
        <f t="shared" si="1"/>
        <v>10280034</v>
      </c>
      <c r="K21" s="3"/>
      <c r="L21" s="3">
        <v>45186</v>
      </c>
      <c r="M21" s="3"/>
      <c r="N21" s="3"/>
      <c r="O21" s="3">
        <v>16863</v>
      </c>
      <c r="P21" s="3">
        <v>7860125</v>
      </c>
      <c r="Q21" s="3"/>
      <c r="R21" s="3"/>
      <c r="S21" s="3"/>
      <c r="T21" s="3"/>
      <c r="U21" s="3">
        <v>51534</v>
      </c>
      <c r="V21" s="3">
        <v>2985</v>
      </c>
      <c r="W21" s="3"/>
      <c r="X21" s="3">
        <v>19462</v>
      </c>
      <c r="Y21" s="3">
        <v>305755</v>
      </c>
      <c r="Z21" s="3"/>
      <c r="AA21" s="3">
        <f t="shared" si="3"/>
        <v>8301910</v>
      </c>
      <c r="AB21" s="4">
        <f t="shared" si="2"/>
        <v>18581944</v>
      </c>
    </row>
    <row r="22" spans="1:28" ht="30" customHeight="1">
      <c r="A22" s="10" t="s">
        <v>71</v>
      </c>
      <c r="B22" s="3">
        <v>404</v>
      </c>
      <c r="C22" s="3">
        <v>45667</v>
      </c>
      <c r="D22" s="3"/>
      <c r="E22" s="3"/>
      <c r="F22" s="3"/>
      <c r="G22" s="3"/>
      <c r="H22" s="3"/>
      <c r="I22" s="3"/>
      <c r="J22" s="3">
        <f t="shared" si="1"/>
        <v>46071</v>
      </c>
      <c r="K22" s="3"/>
      <c r="L22" s="3"/>
      <c r="M22" s="3"/>
      <c r="N22" s="3"/>
      <c r="O22" s="3"/>
      <c r="P22" s="3">
        <v>4717246</v>
      </c>
      <c r="Q22" s="3"/>
      <c r="R22" s="3"/>
      <c r="S22" s="3"/>
      <c r="T22" s="3"/>
      <c r="U22" s="3"/>
      <c r="V22" s="3">
        <v>6082959</v>
      </c>
      <c r="W22" s="3"/>
      <c r="X22" s="3"/>
      <c r="Y22" s="3"/>
      <c r="Z22" s="3">
        <v>239851</v>
      </c>
      <c r="AA22" s="3">
        <f t="shared" si="3"/>
        <v>11040056</v>
      </c>
      <c r="AB22" s="4">
        <f t="shared" si="2"/>
        <v>11086127</v>
      </c>
    </row>
    <row r="23" spans="1:28" ht="30" customHeight="1">
      <c r="A23" s="10" t="s">
        <v>72</v>
      </c>
      <c r="B23" s="3"/>
      <c r="C23" s="3"/>
      <c r="D23" s="3"/>
      <c r="E23" s="3"/>
      <c r="F23" s="3"/>
      <c r="G23" s="3"/>
      <c r="H23" s="3"/>
      <c r="I23" s="3"/>
      <c r="J23" s="3">
        <f t="shared" si="1"/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>
        <f t="shared" si="3"/>
        <v>0</v>
      </c>
      <c r="AB23" s="4">
        <f t="shared" si="2"/>
        <v>0</v>
      </c>
    </row>
    <row r="24" spans="1:28" ht="30" customHeight="1">
      <c r="A24" s="84" t="s">
        <v>185</v>
      </c>
      <c r="B24" s="3">
        <v>536169</v>
      </c>
      <c r="C24" s="3">
        <v>1011557</v>
      </c>
      <c r="D24" s="3"/>
      <c r="E24" s="3">
        <v>1002</v>
      </c>
      <c r="F24" s="3"/>
      <c r="G24" s="3">
        <v>1975</v>
      </c>
      <c r="H24" s="3">
        <v>10121</v>
      </c>
      <c r="I24" s="3"/>
      <c r="J24" s="3">
        <f>SUM(B24:I24)</f>
        <v>1560824</v>
      </c>
      <c r="K24" s="3"/>
      <c r="L24" s="3"/>
      <c r="M24" s="3"/>
      <c r="N24" s="3"/>
      <c r="O24" s="3">
        <v>8936</v>
      </c>
      <c r="P24" s="3"/>
      <c r="Q24" s="3"/>
      <c r="R24" s="3">
        <v>630464</v>
      </c>
      <c r="S24" s="3"/>
      <c r="T24" s="3"/>
      <c r="U24" s="3">
        <v>239995</v>
      </c>
      <c r="V24" s="3">
        <v>892409</v>
      </c>
      <c r="W24" s="3">
        <v>9459</v>
      </c>
      <c r="X24" s="3">
        <v>38519</v>
      </c>
      <c r="Y24" s="3">
        <v>41293</v>
      </c>
      <c r="Z24" s="3"/>
      <c r="AA24" s="3">
        <f>SUM(K24:Z24)</f>
        <v>1861075</v>
      </c>
      <c r="AB24" s="4">
        <f t="shared" si="2"/>
        <v>3421899</v>
      </c>
    </row>
    <row r="25" spans="1:28" ht="30" customHeight="1">
      <c r="A25" s="12" t="s">
        <v>99</v>
      </c>
      <c r="B25" s="3">
        <v>381774</v>
      </c>
      <c r="C25" s="3"/>
      <c r="D25" s="3"/>
      <c r="E25" s="3"/>
      <c r="F25" s="3"/>
      <c r="G25" s="3"/>
      <c r="H25" s="3"/>
      <c r="I25" s="3"/>
      <c r="J25" s="3">
        <f t="shared" si="1"/>
        <v>381774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>
        <f t="shared" si="3"/>
        <v>0</v>
      </c>
      <c r="AB25" s="4">
        <f t="shared" si="2"/>
        <v>381774</v>
      </c>
    </row>
    <row r="26" spans="1:27" ht="48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8" ht="30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85"/>
    </row>
  </sheetData>
  <mergeCells count="1">
    <mergeCell ref="X6:X9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7"/>
  <sheetViews>
    <sheetView zoomScale="75" zoomScaleNormal="75" workbookViewId="0" topLeftCell="A5">
      <pane xSplit="1" ySplit="6" topLeftCell="B11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ColWidth="9.00390625" defaultRowHeight="15.75"/>
  <cols>
    <col min="1" max="1" width="27.375" style="83" customWidth="1"/>
    <col min="2" max="2" width="10.125" style="83" customWidth="1"/>
    <col min="3" max="3" width="10.00390625" style="83" customWidth="1"/>
    <col min="4" max="4" width="8.75390625" style="83" customWidth="1"/>
    <col min="5" max="6" width="9.00390625" style="83" customWidth="1"/>
    <col min="7" max="7" width="11.00390625" style="83" customWidth="1"/>
    <col min="8" max="8" width="11.50390625" style="83" customWidth="1"/>
    <col min="9" max="9" width="10.625" style="83" bestFit="1" customWidth="1"/>
    <col min="10" max="10" width="11.50390625" style="83" customWidth="1"/>
    <col min="11" max="12" width="9.875" style="83" customWidth="1"/>
    <col min="13" max="13" width="10.125" style="83" customWidth="1"/>
    <col min="14" max="14" width="11.00390625" style="83" customWidth="1"/>
    <col min="15" max="15" width="11.875" style="83" customWidth="1"/>
    <col min="16" max="16" width="10.625" style="83" customWidth="1"/>
    <col min="17" max="17" width="11.25390625" style="83" customWidth="1"/>
    <col min="18" max="18" width="11.50390625" style="83" customWidth="1"/>
    <col min="19" max="20" width="9.00390625" style="83" customWidth="1"/>
    <col min="21" max="21" width="9.25390625" style="83" bestFit="1" customWidth="1"/>
    <col min="22" max="26" width="9.00390625" style="83" customWidth="1"/>
    <col min="27" max="27" width="10.375" style="83" customWidth="1"/>
    <col min="28" max="28" width="12.25390625" style="83" customWidth="1"/>
    <col min="29" max="16384" width="9.00390625" style="83" customWidth="1"/>
  </cols>
  <sheetData>
    <row r="1" spans="1:20" s="68" customFormat="1" ht="21">
      <c r="A1" s="67"/>
      <c r="B1" s="83"/>
      <c r="C1" s="83"/>
      <c r="D1" s="83"/>
      <c r="E1" s="2"/>
      <c r="F1" s="15" t="s">
        <v>95</v>
      </c>
      <c r="G1" s="16" t="s">
        <v>96</v>
      </c>
      <c r="S1" s="15" t="s">
        <v>95</v>
      </c>
      <c r="T1" s="16" t="s">
        <v>96</v>
      </c>
    </row>
    <row r="2" spans="4:20" s="68" customFormat="1" ht="27.75">
      <c r="D2" s="1"/>
      <c r="E2" s="1"/>
      <c r="F2" s="17" t="s">
        <v>97</v>
      </c>
      <c r="G2" s="18" t="s">
        <v>98</v>
      </c>
      <c r="S2" s="17" t="s">
        <v>97</v>
      </c>
      <c r="T2" s="18" t="s">
        <v>98</v>
      </c>
    </row>
    <row r="3" spans="6:28" s="68" customFormat="1" ht="16.5">
      <c r="F3" s="19" t="s">
        <v>126</v>
      </c>
      <c r="G3" s="35" t="s">
        <v>127</v>
      </c>
      <c r="M3" s="20" t="s">
        <v>0</v>
      </c>
      <c r="S3" s="19" t="s">
        <v>126</v>
      </c>
      <c r="T3" s="35" t="s">
        <v>127</v>
      </c>
      <c r="AB3" s="20" t="s">
        <v>0</v>
      </c>
    </row>
    <row r="4" spans="1:28" s="68" customFormat="1" ht="30" customHeight="1">
      <c r="A4" s="21" t="s">
        <v>128</v>
      </c>
      <c r="B4" s="22" t="s">
        <v>186</v>
      </c>
      <c r="C4" s="69"/>
      <c r="D4" s="69"/>
      <c r="E4" s="69"/>
      <c r="F4" s="69"/>
      <c r="G4" s="69"/>
      <c r="H4" s="69"/>
      <c r="I4" s="69"/>
      <c r="J4" s="70"/>
      <c r="K4" s="23" t="s">
        <v>187</v>
      </c>
      <c r="L4" s="71"/>
      <c r="M4" s="71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3"/>
      <c r="AB4" s="74"/>
    </row>
    <row r="5" spans="1:28" s="78" customFormat="1" ht="25.5" customHeight="1">
      <c r="A5" s="24" t="s">
        <v>129</v>
      </c>
      <c r="B5" s="25" t="s">
        <v>4</v>
      </c>
      <c r="C5" s="25" t="s">
        <v>5</v>
      </c>
      <c r="D5" s="25" t="s">
        <v>6</v>
      </c>
      <c r="E5" s="25" t="s">
        <v>7</v>
      </c>
      <c r="F5" s="26" t="s">
        <v>188</v>
      </c>
      <c r="G5" s="75"/>
      <c r="H5" s="75"/>
      <c r="I5" s="76"/>
      <c r="J5" s="44" t="s">
        <v>112</v>
      </c>
      <c r="K5" s="26" t="s">
        <v>189</v>
      </c>
      <c r="L5" s="75"/>
      <c r="M5" s="76"/>
      <c r="N5" s="26" t="s">
        <v>190</v>
      </c>
      <c r="O5" s="75"/>
      <c r="P5" s="75"/>
      <c r="Q5" s="76"/>
      <c r="R5" s="25" t="s">
        <v>11</v>
      </c>
      <c r="S5" s="25" t="s">
        <v>12</v>
      </c>
      <c r="T5" s="26" t="s">
        <v>191</v>
      </c>
      <c r="U5" s="75"/>
      <c r="V5" s="75"/>
      <c r="W5" s="75"/>
      <c r="X5" s="75"/>
      <c r="Y5" s="75"/>
      <c r="Z5" s="77"/>
      <c r="AA5" s="25" t="s">
        <v>13</v>
      </c>
      <c r="AB5" s="27" t="s">
        <v>14</v>
      </c>
    </row>
    <row r="6" spans="1:28" s="68" customFormat="1" ht="16.5">
      <c r="A6" s="79"/>
      <c r="B6" s="80"/>
      <c r="C6" s="28" t="s">
        <v>15</v>
      </c>
      <c r="D6" s="28" t="s">
        <v>16</v>
      </c>
      <c r="E6" s="28" t="s">
        <v>192</v>
      </c>
      <c r="F6" s="80"/>
      <c r="G6" s="80"/>
      <c r="H6" s="80"/>
      <c r="I6" s="80"/>
      <c r="J6" s="28" t="s">
        <v>193</v>
      </c>
      <c r="K6" s="80"/>
      <c r="L6" s="43" t="s">
        <v>194</v>
      </c>
      <c r="M6" s="43" t="s">
        <v>195</v>
      </c>
      <c r="N6" s="80" t="s">
        <v>17</v>
      </c>
      <c r="O6" s="80"/>
      <c r="P6" s="80"/>
      <c r="Q6" s="80"/>
      <c r="R6" s="28" t="s">
        <v>18</v>
      </c>
      <c r="S6" s="28" t="s">
        <v>196</v>
      </c>
      <c r="T6" s="80" t="s">
        <v>17</v>
      </c>
      <c r="U6" s="80" t="s">
        <v>17</v>
      </c>
      <c r="V6" s="80"/>
      <c r="W6" s="80"/>
      <c r="X6" s="107" t="s">
        <v>183</v>
      </c>
      <c r="Y6" s="80"/>
      <c r="Z6" s="80"/>
      <c r="AA6" s="28" t="s">
        <v>197</v>
      </c>
      <c r="AB6" s="81"/>
    </row>
    <row r="7" spans="1:28" s="68" customFormat="1" ht="16.5">
      <c r="A7" s="79"/>
      <c r="B7" s="28" t="s">
        <v>19</v>
      </c>
      <c r="C7" s="28" t="s">
        <v>198</v>
      </c>
      <c r="D7" s="80"/>
      <c r="E7" s="80" t="s">
        <v>17</v>
      </c>
      <c r="F7" s="28" t="s">
        <v>20</v>
      </c>
      <c r="G7" s="28" t="s">
        <v>21</v>
      </c>
      <c r="H7" s="28" t="s">
        <v>20</v>
      </c>
      <c r="I7" s="28" t="s">
        <v>20</v>
      </c>
      <c r="J7" s="80"/>
      <c r="K7" s="28" t="s">
        <v>22</v>
      </c>
      <c r="L7" s="28" t="s">
        <v>199</v>
      </c>
      <c r="M7" s="28" t="s">
        <v>23</v>
      </c>
      <c r="N7" s="28" t="s">
        <v>20</v>
      </c>
      <c r="O7" s="28" t="s">
        <v>21</v>
      </c>
      <c r="P7" s="28" t="s">
        <v>20</v>
      </c>
      <c r="Q7" s="28" t="s">
        <v>20</v>
      </c>
      <c r="R7" s="80"/>
      <c r="S7" s="80"/>
      <c r="T7" s="28" t="s">
        <v>24</v>
      </c>
      <c r="U7" s="28" t="s">
        <v>25</v>
      </c>
      <c r="V7" s="28" t="s">
        <v>26</v>
      </c>
      <c r="W7" s="28" t="s">
        <v>27</v>
      </c>
      <c r="X7" s="108"/>
      <c r="Y7" s="28" t="s">
        <v>28</v>
      </c>
      <c r="Z7" s="28" t="s">
        <v>29</v>
      </c>
      <c r="AA7" s="80"/>
      <c r="AB7" s="81"/>
    </row>
    <row r="8" spans="1:28" s="68" customFormat="1" ht="16.5">
      <c r="A8" s="29" t="s">
        <v>130</v>
      </c>
      <c r="B8" s="80"/>
      <c r="C8" s="28" t="s">
        <v>31</v>
      </c>
      <c r="D8" s="28" t="s">
        <v>32</v>
      </c>
      <c r="E8" s="28" t="s">
        <v>200</v>
      </c>
      <c r="F8" s="28" t="s">
        <v>33</v>
      </c>
      <c r="G8" s="28" t="s">
        <v>34</v>
      </c>
      <c r="H8" s="28" t="s">
        <v>35</v>
      </c>
      <c r="I8" s="28" t="s">
        <v>36</v>
      </c>
      <c r="J8" s="28" t="s">
        <v>201</v>
      </c>
      <c r="K8" s="80"/>
      <c r="L8" s="28" t="s">
        <v>202</v>
      </c>
      <c r="M8" s="80"/>
      <c r="N8" s="28" t="s">
        <v>33</v>
      </c>
      <c r="O8" s="28" t="s">
        <v>34</v>
      </c>
      <c r="P8" s="28" t="s">
        <v>35</v>
      </c>
      <c r="Q8" s="28" t="s">
        <v>36</v>
      </c>
      <c r="R8" s="28" t="s">
        <v>37</v>
      </c>
      <c r="S8" s="28" t="s">
        <v>203</v>
      </c>
      <c r="T8" s="80"/>
      <c r="U8" s="28" t="s">
        <v>24</v>
      </c>
      <c r="V8" s="80"/>
      <c r="W8" s="80"/>
      <c r="X8" s="108"/>
      <c r="Y8" s="28" t="s">
        <v>38</v>
      </c>
      <c r="Z8" s="80"/>
      <c r="AA8" s="28" t="s">
        <v>201</v>
      </c>
      <c r="AB8" s="30" t="s">
        <v>39</v>
      </c>
    </row>
    <row r="9" spans="1:28" s="68" customFormat="1" ht="16.5">
      <c r="A9" s="31" t="s">
        <v>129</v>
      </c>
      <c r="B9" s="32" t="s">
        <v>40</v>
      </c>
      <c r="C9" s="32" t="s">
        <v>41</v>
      </c>
      <c r="D9" s="32" t="s">
        <v>42</v>
      </c>
      <c r="E9" s="32" t="s">
        <v>43</v>
      </c>
      <c r="F9" s="32" t="s">
        <v>44</v>
      </c>
      <c r="G9" s="32" t="s">
        <v>45</v>
      </c>
      <c r="H9" s="32" t="s">
        <v>46</v>
      </c>
      <c r="I9" s="32" t="s">
        <v>47</v>
      </c>
      <c r="J9" s="32" t="s">
        <v>48</v>
      </c>
      <c r="K9" s="32" t="s">
        <v>49</v>
      </c>
      <c r="L9" s="32" t="s">
        <v>204</v>
      </c>
      <c r="M9" s="32" t="s">
        <v>51</v>
      </c>
      <c r="N9" s="32" t="s">
        <v>44</v>
      </c>
      <c r="O9" s="32" t="s">
        <v>205</v>
      </c>
      <c r="P9" s="32" t="s">
        <v>46</v>
      </c>
      <c r="Q9" s="32" t="s">
        <v>47</v>
      </c>
      <c r="R9" s="32" t="s">
        <v>52</v>
      </c>
      <c r="S9" s="32" t="s">
        <v>53</v>
      </c>
      <c r="T9" s="32" t="s">
        <v>54</v>
      </c>
      <c r="U9" s="32" t="s">
        <v>54</v>
      </c>
      <c r="V9" s="32" t="s">
        <v>55</v>
      </c>
      <c r="W9" s="32" t="s">
        <v>56</v>
      </c>
      <c r="X9" s="109"/>
      <c r="Y9" s="32" t="s">
        <v>57</v>
      </c>
      <c r="Z9" s="32" t="s">
        <v>58</v>
      </c>
      <c r="AA9" s="32" t="s">
        <v>48</v>
      </c>
      <c r="AB9" s="82"/>
    </row>
    <row r="10" spans="1:28" ht="30" customHeight="1">
      <c r="A10" s="79" t="s">
        <v>131</v>
      </c>
      <c r="B10" s="3">
        <f aca="true" t="shared" si="0" ref="B10:AB10">SUM(B11:B25)</f>
        <v>8186421</v>
      </c>
      <c r="C10" s="3">
        <f t="shared" si="0"/>
        <v>7895001</v>
      </c>
      <c r="D10" s="3">
        <f t="shared" si="0"/>
        <v>0</v>
      </c>
      <c r="E10" s="3">
        <f t="shared" si="0"/>
        <v>0</v>
      </c>
      <c r="F10" s="3">
        <f t="shared" si="0"/>
        <v>0</v>
      </c>
      <c r="G10" s="3">
        <f t="shared" si="0"/>
        <v>417434</v>
      </c>
      <c r="H10" s="3">
        <f t="shared" si="0"/>
        <v>17</v>
      </c>
      <c r="I10" s="3">
        <f t="shared" si="0"/>
        <v>10887765</v>
      </c>
      <c r="J10" s="3">
        <f t="shared" si="0"/>
        <v>27386638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3115</v>
      </c>
      <c r="P10" s="3">
        <f t="shared" si="0"/>
        <v>0</v>
      </c>
      <c r="Q10" s="3">
        <f t="shared" si="0"/>
        <v>0</v>
      </c>
      <c r="R10" s="3">
        <f t="shared" si="0"/>
        <v>0</v>
      </c>
      <c r="S10" s="3">
        <f t="shared" si="0"/>
        <v>0</v>
      </c>
      <c r="T10" s="3">
        <f t="shared" si="0"/>
        <v>0</v>
      </c>
      <c r="U10" s="3">
        <f t="shared" si="0"/>
        <v>148000</v>
      </c>
      <c r="V10" s="3">
        <f t="shared" si="0"/>
        <v>0</v>
      </c>
      <c r="W10" s="3">
        <f t="shared" si="0"/>
        <v>81576</v>
      </c>
      <c r="X10" s="3">
        <f>SUM(X11:X25)</f>
        <v>94118</v>
      </c>
      <c r="Y10" s="3">
        <f t="shared" si="0"/>
        <v>184023</v>
      </c>
      <c r="Z10" s="3">
        <f t="shared" si="0"/>
        <v>0</v>
      </c>
      <c r="AA10" s="3">
        <f t="shared" si="0"/>
        <v>510832</v>
      </c>
      <c r="AB10" s="5">
        <f t="shared" si="0"/>
        <v>27897470</v>
      </c>
    </row>
    <row r="11" spans="1:28" ht="30" customHeight="1">
      <c r="A11" s="10" t="s">
        <v>60</v>
      </c>
      <c r="B11" s="3">
        <v>8005797</v>
      </c>
      <c r="C11" s="3">
        <f>5932098+1962903</f>
        <v>7895001</v>
      </c>
      <c r="D11" s="3"/>
      <c r="E11" s="3"/>
      <c r="F11" s="3"/>
      <c r="G11" s="3">
        <v>417434</v>
      </c>
      <c r="H11" s="3">
        <v>17</v>
      </c>
      <c r="I11" s="93">
        <f>11227101-1904-337432</f>
        <v>10887765</v>
      </c>
      <c r="J11" s="3">
        <f aca="true" t="shared" si="1" ref="J11:J25">SUM(B11:I11)</f>
        <v>27206014</v>
      </c>
      <c r="K11" s="3"/>
      <c r="L11" s="3"/>
      <c r="M11" s="3"/>
      <c r="N11" s="3"/>
      <c r="O11" s="93">
        <f>3116-1</f>
        <v>3115</v>
      </c>
      <c r="P11" s="3"/>
      <c r="Q11" s="3"/>
      <c r="R11" s="3"/>
      <c r="S11" s="3"/>
      <c r="T11" s="3"/>
      <c r="U11" s="3">
        <v>148000</v>
      </c>
      <c r="V11" s="3"/>
      <c r="W11" s="3">
        <v>81576</v>
      </c>
      <c r="X11" s="3">
        <v>94118</v>
      </c>
      <c r="Y11" s="3">
        <v>184023</v>
      </c>
      <c r="Z11" s="3"/>
      <c r="AA11" s="3">
        <f>SUM(K11:Z11)</f>
        <v>510832</v>
      </c>
      <c r="AB11" s="4">
        <f aca="true" t="shared" si="2" ref="AB11:AB25">SUM(J11,AA11)</f>
        <v>27716846</v>
      </c>
    </row>
    <row r="12" spans="1:28" ht="30" customHeight="1">
      <c r="A12" s="12" t="s">
        <v>132</v>
      </c>
      <c r="B12" s="3"/>
      <c r="C12" s="3"/>
      <c r="D12" s="3"/>
      <c r="E12" s="3"/>
      <c r="F12" s="3"/>
      <c r="G12" s="3"/>
      <c r="H12" s="3"/>
      <c r="I12" s="3"/>
      <c r="J12" s="3">
        <f t="shared" si="1"/>
        <v>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aca="true" t="shared" si="3" ref="AA12:AA25">SUM(K12:Z12)</f>
        <v>0</v>
      </c>
      <c r="AB12" s="4">
        <f t="shared" si="2"/>
        <v>0</v>
      </c>
    </row>
    <row r="13" spans="1:28" ht="30" customHeight="1">
      <c r="A13" s="10" t="s">
        <v>62</v>
      </c>
      <c r="B13" s="3"/>
      <c r="C13" s="3"/>
      <c r="D13" s="3"/>
      <c r="E13" s="3"/>
      <c r="F13" s="3"/>
      <c r="G13" s="3"/>
      <c r="H13" s="3"/>
      <c r="I13" s="3"/>
      <c r="J13" s="3">
        <f t="shared" si="1"/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 t="shared" si="3"/>
        <v>0</v>
      </c>
      <c r="AB13" s="4">
        <f t="shared" si="2"/>
        <v>0</v>
      </c>
    </row>
    <row r="14" spans="1:28" ht="30" customHeight="1">
      <c r="A14" s="10" t="s">
        <v>63</v>
      </c>
      <c r="B14" s="3"/>
      <c r="C14" s="3"/>
      <c r="D14" s="3"/>
      <c r="E14" s="3"/>
      <c r="F14" s="3"/>
      <c r="G14" s="3"/>
      <c r="H14" s="3"/>
      <c r="I14" s="3"/>
      <c r="J14" s="3">
        <f t="shared" si="1"/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 t="shared" si="3"/>
        <v>0</v>
      </c>
      <c r="AB14" s="4">
        <f t="shared" si="2"/>
        <v>0</v>
      </c>
    </row>
    <row r="15" spans="1:28" ht="30" customHeight="1">
      <c r="A15" s="10" t="s">
        <v>64</v>
      </c>
      <c r="B15" s="3"/>
      <c r="C15" s="3"/>
      <c r="D15" s="3"/>
      <c r="E15" s="3"/>
      <c r="F15" s="3"/>
      <c r="G15" s="3"/>
      <c r="H15" s="3"/>
      <c r="I15" s="3"/>
      <c r="J15" s="3">
        <f t="shared" si="1"/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>
        <f t="shared" si="3"/>
        <v>0</v>
      </c>
      <c r="AB15" s="4">
        <f t="shared" si="2"/>
        <v>0</v>
      </c>
    </row>
    <row r="16" spans="1:28" ht="30" customHeight="1">
      <c r="A16" s="10" t="s">
        <v>65</v>
      </c>
      <c r="B16" s="3">
        <v>169353</v>
      </c>
      <c r="C16" s="3"/>
      <c r="D16" s="3"/>
      <c r="E16" s="3"/>
      <c r="F16" s="3"/>
      <c r="G16" s="3"/>
      <c r="H16" s="3"/>
      <c r="I16" s="3"/>
      <c r="J16" s="3">
        <f t="shared" si="1"/>
        <v>169353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>
        <f t="shared" si="3"/>
        <v>0</v>
      </c>
      <c r="AB16" s="4">
        <f t="shared" si="2"/>
        <v>169353</v>
      </c>
    </row>
    <row r="17" spans="1:28" ht="30" customHeight="1">
      <c r="A17" s="10" t="s">
        <v>66</v>
      </c>
      <c r="B17" s="3"/>
      <c r="C17" s="3"/>
      <c r="D17" s="3"/>
      <c r="E17" s="3"/>
      <c r="F17" s="3"/>
      <c r="G17" s="3"/>
      <c r="H17" s="3"/>
      <c r="I17" s="3"/>
      <c r="J17" s="3">
        <f t="shared" si="1"/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>
        <f t="shared" si="3"/>
        <v>0</v>
      </c>
      <c r="AB17" s="4">
        <f t="shared" si="2"/>
        <v>0</v>
      </c>
    </row>
    <row r="18" spans="1:28" ht="30" customHeight="1">
      <c r="A18" s="12" t="s">
        <v>67</v>
      </c>
      <c r="B18" s="3"/>
      <c r="C18" s="3"/>
      <c r="D18" s="3"/>
      <c r="E18" s="3"/>
      <c r="F18" s="3"/>
      <c r="G18" s="3"/>
      <c r="H18" s="3"/>
      <c r="I18" s="3"/>
      <c r="J18" s="3">
        <f t="shared" si="1"/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3"/>
        <v>0</v>
      </c>
      <c r="AB18" s="4">
        <f t="shared" si="2"/>
        <v>0</v>
      </c>
    </row>
    <row r="19" spans="1:28" ht="30" customHeight="1">
      <c r="A19" s="12" t="s">
        <v>68</v>
      </c>
      <c r="B19" s="3"/>
      <c r="C19" s="3"/>
      <c r="D19" s="3"/>
      <c r="E19" s="3"/>
      <c r="F19" s="3"/>
      <c r="G19" s="3"/>
      <c r="H19" s="3"/>
      <c r="I19" s="3"/>
      <c r="J19" s="3">
        <f t="shared" si="1"/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3"/>
        <v>0</v>
      </c>
      <c r="AB19" s="4">
        <f t="shared" si="2"/>
        <v>0</v>
      </c>
    </row>
    <row r="20" spans="1:28" ht="30" customHeight="1">
      <c r="A20" s="10" t="s">
        <v>69</v>
      </c>
      <c r="B20" s="3"/>
      <c r="C20" s="3"/>
      <c r="D20" s="3"/>
      <c r="E20" s="3"/>
      <c r="F20" s="3"/>
      <c r="G20" s="3"/>
      <c r="H20" s="3"/>
      <c r="I20" s="3"/>
      <c r="J20" s="3">
        <f t="shared" si="1"/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3"/>
        <v>0</v>
      </c>
      <c r="AB20" s="4">
        <f t="shared" si="2"/>
        <v>0</v>
      </c>
    </row>
    <row r="21" spans="1:28" ht="30" customHeight="1">
      <c r="A21" s="12" t="s">
        <v>70</v>
      </c>
      <c r="B21" s="3"/>
      <c r="C21" s="3"/>
      <c r="D21" s="3"/>
      <c r="E21" s="3"/>
      <c r="F21" s="3"/>
      <c r="G21" s="3"/>
      <c r="H21" s="3"/>
      <c r="I21" s="3"/>
      <c r="J21" s="3">
        <f t="shared" si="1"/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3"/>
        <v>0</v>
      </c>
      <c r="AB21" s="4">
        <f t="shared" si="2"/>
        <v>0</v>
      </c>
    </row>
    <row r="22" spans="1:28" ht="30" customHeight="1">
      <c r="A22" s="10" t="s">
        <v>71</v>
      </c>
      <c r="B22" s="3"/>
      <c r="C22" s="3"/>
      <c r="D22" s="3"/>
      <c r="E22" s="3"/>
      <c r="F22" s="3"/>
      <c r="G22" s="3"/>
      <c r="H22" s="3"/>
      <c r="I22" s="3"/>
      <c r="J22" s="3">
        <f t="shared" si="1"/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>
        <f t="shared" si="3"/>
        <v>0</v>
      </c>
      <c r="AB22" s="4">
        <f t="shared" si="2"/>
        <v>0</v>
      </c>
    </row>
    <row r="23" spans="1:28" ht="30" customHeight="1">
      <c r="A23" s="10" t="s">
        <v>72</v>
      </c>
      <c r="B23" s="3"/>
      <c r="C23" s="3"/>
      <c r="D23" s="3"/>
      <c r="E23" s="3"/>
      <c r="F23" s="3"/>
      <c r="G23" s="3"/>
      <c r="H23" s="3"/>
      <c r="I23" s="3"/>
      <c r="J23" s="3">
        <f t="shared" si="1"/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>
        <f t="shared" si="3"/>
        <v>0</v>
      </c>
      <c r="AB23" s="4">
        <f t="shared" si="2"/>
        <v>0</v>
      </c>
    </row>
    <row r="24" spans="1:28" ht="30" customHeight="1">
      <c r="A24" s="84" t="s">
        <v>185</v>
      </c>
      <c r="B24" s="3"/>
      <c r="C24" s="3"/>
      <c r="D24" s="3"/>
      <c r="E24" s="3"/>
      <c r="F24" s="3"/>
      <c r="G24" s="3"/>
      <c r="H24" s="3"/>
      <c r="I24" s="3"/>
      <c r="J24" s="3">
        <f>SUM(B24:I24)</f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>
        <f>SUM(K24:Z24)</f>
        <v>0</v>
      </c>
      <c r="AB24" s="4">
        <f t="shared" si="2"/>
        <v>0</v>
      </c>
    </row>
    <row r="25" spans="1:28" ht="30" customHeight="1">
      <c r="A25" s="12" t="s">
        <v>99</v>
      </c>
      <c r="B25" s="3">
        <v>11271</v>
      </c>
      <c r="C25" s="3"/>
      <c r="D25" s="3"/>
      <c r="E25" s="3"/>
      <c r="F25" s="3"/>
      <c r="G25" s="3"/>
      <c r="H25" s="3"/>
      <c r="I25" s="3"/>
      <c r="J25" s="3">
        <f t="shared" si="1"/>
        <v>11271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>
        <f t="shared" si="3"/>
        <v>0</v>
      </c>
      <c r="AB25" s="4">
        <f t="shared" si="2"/>
        <v>11271</v>
      </c>
    </row>
    <row r="26" spans="1:27" ht="48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8" ht="30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85"/>
    </row>
  </sheetData>
  <mergeCells count="1">
    <mergeCell ref="X6:X9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7"/>
  <sheetViews>
    <sheetView zoomScale="75" zoomScaleNormal="75" workbookViewId="0" topLeftCell="A1">
      <pane xSplit="1" ySplit="10" topLeftCell="R12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ColWidth="9.00390625" defaultRowHeight="15.75"/>
  <cols>
    <col min="1" max="1" width="27.375" style="83" customWidth="1"/>
    <col min="2" max="3" width="11.625" style="83" customWidth="1"/>
    <col min="4" max="4" width="8.75390625" style="83" customWidth="1"/>
    <col min="5" max="6" width="9.00390625" style="83" customWidth="1"/>
    <col min="7" max="7" width="11.00390625" style="83" customWidth="1"/>
    <col min="8" max="8" width="11.50390625" style="83" customWidth="1"/>
    <col min="9" max="9" width="9.00390625" style="83" customWidth="1"/>
    <col min="10" max="10" width="13.125" style="83" customWidth="1"/>
    <col min="11" max="12" width="9.875" style="83" customWidth="1"/>
    <col min="13" max="13" width="10.125" style="83" customWidth="1"/>
    <col min="14" max="14" width="11.00390625" style="83" customWidth="1"/>
    <col min="15" max="15" width="11.875" style="83" customWidth="1"/>
    <col min="16" max="16" width="10.625" style="83" customWidth="1"/>
    <col min="17" max="17" width="11.25390625" style="83" customWidth="1"/>
    <col min="18" max="18" width="11.50390625" style="83" customWidth="1"/>
    <col min="19" max="20" width="9.00390625" style="83" customWidth="1"/>
    <col min="21" max="22" width="9.75390625" style="83" bestFit="1" customWidth="1"/>
    <col min="23" max="23" width="9.00390625" style="83" customWidth="1"/>
    <col min="24" max="24" width="9.25390625" style="83" customWidth="1"/>
    <col min="25" max="25" width="10.625" style="83" bestFit="1" customWidth="1"/>
    <col min="26" max="26" width="9.00390625" style="83" customWidth="1"/>
    <col min="27" max="27" width="10.375" style="83" customWidth="1"/>
    <col min="28" max="28" width="12.25390625" style="83" customWidth="1"/>
    <col min="29" max="16384" width="9.00390625" style="83" customWidth="1"/>
  </cols>
  <sheetData>
    <row r="1" spans="1:20" s="68" customFormat="1" ht="21">
      <c r="A1" s="67"/>
      <c r="B1" s="83"/>
      <c r="C1" s="83"/>
      <c r="D1" s="83"/>
      <c r="E1" s="2"/>
      <c r="F1" s="15" t="s">
        <v>95</v>
      </c>
      <c r="G1" s="16" t="s">
        <v>96</v>
      </c>
      <c r="S1" s="15" t="s">
        <v>95</v>
      </c>
      <c r="T1" s="16" t="s">
        <v>96</v>
      </c>
    </row>
    <row r="2" spans="4:20" s="68" customFormat="1" ht="27.75">
      <c r="D2" s="1"/>
      <c r="E2" s="1"/>
      <c r="F2" s="17" t="s">
        <v>97</v>
      </c>
      <c r="G2" s="18" t="s">
        <v>98</v>
      </c>
      <c r="S2" s="17" t="s">
        <v>97</v>
      </c>
      <c r="T2" s="18" t="s">
        <v>98</v>
      </c>
    </row>
    <row r="3" spans="6:28" s="68" customFormat="1" ht="16.5">
      <c r="F3" s="19" t="s">
        <v>126</v>
      </c>
      <c r="G3" s="35" t="s">
        <v>127</v>
      </c>
      <c r="M3" s="20" t="s">
        <v>0</v>
      </c>
      <c r="S3" s="19" t="s">
        <v>126</v>
      </c>
      <c r="T3" s="35" t="s">
        <v>127</v>
      </c>
      <c r="AB3" s="20" t="s">
        <v>0</v>
      </c>
    </row>
    <row r="4" spans="1:28" s="68" customFormat="1" ht="30" customHeight="1">
      <c r="A4" s="21" t="s">
        <v>128</v>
      </c>
      <c r="B4" s="22" t="s">
        <v>186</v>
      </c>
      <c r="C4" s="69"/>
      <c r="D4" s="69"/>
      <c r="E4" s="69"/>
      <c r="F4" s="69"/>
      <c r="G4" s="69"/>
      <c r="H4" s="69"/>
      <c r="I4" s="69"/>
      <c r="J4" s="70"/>
      <c r="K4" s="23" t="s">
        <v>187</v>
      </c>
      <c r="L4" s="71"/>
      <c r="M4" s="71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3"/>
      <c r="AB4" s="74"/>
    </row>
    <row r="5" spans="1:28" s="78" customFormat="1" ht="25.5" customHeight="1">
      <c r="A5" s="24" t="s">
        <v>129</v>
      </c>
      <c r="B5" s="25" t="s">
        <v>4</v>
      </c>
      <c r="C5" s="25" t="s">
        <v>5</v>
      </c>
      <c r="D5" s="25" t="s">
        <v>6</v>
      </c>
      <c r="E5" s="25" t="s">
        <v>7</v>
      </c>
      <c r="F5" s="26" t="s">
        <v>188</v>
      </c>
      <c r="G5" s="75"/>
      <c r="H5" s="75"/>
      <c r="I5" s="76"/>
      <c r="J5" s="44" t="s">
        <v>112</v>
      </c>
      <c r="K5" s="26" t="s">
        <v>189</v>
      </c>
      <c r="L5" s="75"/>
      <c r="M5" s="76"/>
      <c r="N5" s="26" t="s">
        <v>190</v>
      </c>
      <c r="O5" s="75"/>
      <c r="P5" s="75"/>
      <c r="Q5" s="76"/>
      <c r="R5" s="25" t="s">
        <v>11</v>
      </c>
      <c r="S5" s="25" t="s">
        <v>12</v>
      </c>
      <c r="T5" s="26" t="s">
        <v>191</v>
      </c>
      <c r="U5" s="75"/>
      <c r="V5" s="75"/>
      <c r="W5" s="75"/>
      <c r="X5" s="75"/>
      <c r="Y5" s="75"/>
      <c r="Z5" s="77"/>
      <c r="AA5" s="25" t="s">
        <v>13</v>
      </c>
      <c r="AB5" s="27" t="s">
        <v>14</v>
      </c>
    </row>
    <row r="6" spans="1:28" s="68" customFormat="1" ht="16.5">
      <c r="A6" s="79"/>
      <c r="B6" s="80"/>
      <c r="C6" s="28" t="s">
        <v>15</v>
      </c>
      <c r="D6" s="28" t="s">
        <v>16</v>
      </c>
      <c r="E6" s="28" t="s">
        <v>192</v>
      </c>
      <c r="F6" s="80"/>
      <c r="G6" s="80"/>
      <c r="H6" s="80"/>
      <c r="I6" s="80"/>
      <c r="J6" s="28" t="s">
        <v>193</v>
      </c>
      <c r="K6" s="80"/>
      <c r="L6" s="43" t="s">
        <v>194</v>
      </c>
      <c r="M6" s="43" t="s">
        <v>195</v>
      </c>
      <c r="N6" s="80" t="s">
        <v>17</v>
      </c>
      <c r="O6" s="80"/>
      <c r="P6" s="80"/>
      <c r="Q6" s="80"/>
      <c r="R6" s="28" t="s">
        <v>18</v>
      </c>
      <c r="S6" s="28" t="s">
        <v>196</v>
      </c>
      <c r="T6" s="80" t="s">
        <v>17</v>
      </c>
      <c r="U6" s="80" t="s">
        <v>17</v>
      </c>
      <c r="V6" s="80"/>
      <c r="W6" s="80"/>
      <c r="X6" s="107" t="s">
        <v>183</v>
      </c>
      <c r="Y6" s="80"/>
      <c r="Z6" s="80"/>
      <c r="AA6" s="28" t="s">
        <v>197</v>
      </c>
      <c r="AB6" s="81"/>
    </row>
    <row r="7" spans="1:28" s="68" customFormat="1" ht="16.5">
      <c r="A7" s="79"/>
      <c r="B7" s="28" t="s">
        <v>19</v>
      </c>
      <c r="C7" s="28" t="s">
        <v>198</v>
      </c>
      <c r="D7" s="80"/>
      <c r="E7" s="80" t="s">
        <v>17</v>
      </c>
      <c r="F7" s="28" t="s">
        <v>20</v>
      </c>
      <c r="G7" s="28" t="s">
        <v>21</v>
      </c>
      <c r="H7" s="28" t="s">
        <v>20</v>
      </c>
      <c r="I7" s="28" t="s">
        <v>20</v>
      </c>
      <c r="J7" s="80"/>
      <c r="K7" s="28" t="s">
        <v>22</v>
      </c>
      <c r="L7" s="28" t="s">
        <v>199</v>
      </c>
      <c r="M7" s="28" t="s">
        <v>23</v>
      </c>
      <c r="N7" s="28" t="s">
        <v>20</v>
      </c>
      <c r="O7" s="28" t="s">
        <v>21</v>
      </c>
      <c r="P7" s="28" t="s">
        <v>20</v>
      </c>
      <c r="Q7" s="28" t="s">
        <v>20</v>
      </c>
      <c r="R7" s="80"/>
      <c r="S7" s="80"/>
      <c r="T7" s="28" t="s">
        <v>24</v>
      </c>
      <c r="U7" s="28" t="s">
        <v>25</v>
      </c>
      <c r="V7" s="28" t="s">
        <v>26</v>
      </c>
      <c r="W7" s="28" t="s">
        <v>27</v>
      </c>
      <c r="X7" s="108"/>
      <c r="Y7" s="28" t="s">
        <v>28</v>
      </c>
      <c r="Z7" s="28" t="s">
        <v>29</v>
      </c>
      <c r="AA7" s="80"/>
      <c r="AB7" s="81"/>
    </row>
    <row r="8" spans="1:28" s="68" customFormat="1" ht="16.5">
      <c r="A8" s="29" t="s">
        <v>130</v>
      </c>
      <c r="B8" s="80"/>
      <c r="C8" s="28" t="s">
        <v>31</v>
      </c>
      <c r="D8" s="28" t="s">
        <v>32</v>
      </c>
      <c r="E8" s="28" t="s">
        <v>200</v>
      </c>
      <c r="F8" s="28" t="s">
        <v>33</v>
      </c>
      <c r="G8" s="28" t="s">
        <v>34</v>
      </c>
      <c r="H8" s="28" t="s">
        <v>35</v>
      </c>
      <c r="I8" s="28" t="s">
        <v>36</v>
      </c>
      <c r="J8" s="28" t="s">
        <v>201</v>
      </c>
      <c r="K8" s="80"/>
      <c r="L8" s="28" t="s">
        <v>202</v>
      </c>
      <c r="M8" s="80"/>
      <c r="N8" s="28" t="s">
        <v>33</v>
      </c>
      <c r="O8" s="28" t="s">
        <v>34</v>
      </c>
      <c r="P8" s="28" t="s">
        <v>35</v>
      </c>
      <c r="Q8" s="28" t="s">
        <v>36</v>
      </c>
      <c r="R8" s="28" t="s">
        <v>37</v>
      </c>
      <c r="S8" s="28" t="s">
        <v>203</v>
      </c>
      <c r="T8" s="80"/>
      <c r="U8" s="28" t="s">
        <v>24</v>
      </c>
      <c r="V8" s="80"/>
      <c r="W8" s="80"/>
      <c r="X8" s="108"/>
      <c r="Y8" s="28" t="s">
        <v>38</v>
      </c>
      <c r="Z8" s="80"/>
      <c r="AA8" s="28" t="s">
        <v>201</v>
      </c>
      <c r="AB8" s="30" t="s">
        <v>39</v>
      </c>
    </row>
    <row r="9" spans="1:28" s="68" customFormat="1" ht="16.5">
      <c r="A9" s="31" t="s">
        <v>129</v>
      </c>
      <c r="B9" s="32" t="s">
        <v>40</v>
      </c>
      <c r="C9" s="32" t="s">
        <v>41</v>
      </c>
      <c r="D9" s="32" t="s">
        <v>42</v>
      </c>
      <c r="E9" s="32" t="s">
        <v>43</v>
      </c>
      <c r="F9" s="32" t="s">
        <v>44</v>
      </c>
      <c r="G9" s="32" t="s">
        <v>45</v>
      </c>
      <c r="H9" s="32" t="s">
        <v>46</v>
      </c>
      <c r="I9" s="32" t="s">
        <v>47</v>
      </c>
      <c r="J9" s="32" t="s">
        <v>48</v>
      </c>
      <c r="K9" s="32" t="s">
        <v>49</v>
      </c>
      <c r="L9" s="32" t="s">
        <v>204</v>
      </c>
      <c r="M9" s="32" t="s">
        <v>51</v>
      </c>
      <c r="N9" s="32" t="s">
        <v>44</v>
      </c>
      <c r="O9" s="32" t="s">
        <v>205</v>
      </c>
      <c r="P9" s="32" t="s">
        <v>46</v>
      </c>
      <c r="Q9" s="32" t="s">
        <v>47</v>
      </c>
      <c r="R9" s="32" t="s">
        <v>52</v>
      </c>
      <c r="S9" s="32" t="s">
        <v>53</v>
      </c>
      <c r="T9" s="32" t="s">
        <v>54</v>
      </c>
      <c r="U9" s="32" t="s">
        <v>54</v>
      </c>
      <c r="V9" s="32" t="s">
        <v>55</v>
      </c>
      <c r="W9" s="32" t="s">
        <v>56</v>
      </c>
      <c r="X9" s="109"/>
      <c r="Y9" s="32" t="s">
        <v>57</v>
      </c>
      <c r="Z9" s="32" t="s">
        <v>58</v>
      </c>
      <c r="AA9" s="32" t="s">
        <v>48</v>
      </c>
      <c r="AB9" s="82"/>
    </row>
    <row r="10" spans="1:28" ht="30" customHeight="1">
      <c r="A10" s="79" t="s">
        <v>131</v>
      </c>
      <c r="B10" s="3">
        <f aca="true" t="shared" si="0" ref="B10:AB10">SUM(B11:B25)</f>
        <v>132595095</v>
      </c>
      <c r="C10" s="3">
        <f t="shared" si="0"/>
        <v>143811282</v>
      </c>
      <c r="D10" s="3">
        <f t="shared" si="0"/>
        <v>0</v>
      </c>
      <c r="E10" s="3">
        <f t="shared" si="0"/>
        <v>59241</v>
      </c>
      <c r="F10" s="3">
        <f t="shared" si="0"/>
        <v>0</v>
      </c>
      <c r="G10" s="3">
        <f t="shared" si="0"/>
        <v>671151</v>
      </c>
      <c r="H10" s="3">
        <f t="shared" si="0"/>
        <v>281315</v>
      </c>
      <c r="I10" s="3">
        <f t="shared" si="0"/>
        <v>593</v>
      </c>
      <c r="J10" s="3">
        <f t="shared" si="0"/>
        <v>277418677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8512999</v>
      </c>
      <c r="P10" s="3">
        <f t="shared" si="0"/>
        <v>0</v>
      </c>
      <c r="Q10" s="3">
        <f t="shared" si="0"/>
        <v>0</v>
      </c>
      <c r="R10" s="3">
        <f t="shared" si="0"/>
        <v>1688640</v>
      </c>
      <c r="S10" s="3">
        <f t="shared" si="0"/>
        <v>0</v>
      </c>
      <c r="T10" s="3">
        <f t="shared" si="0"/>
        <v>99</v>
      </c>
      <c r="U10" s="3">
        <f t="shared" si="0"/>
        <v>3638090</v>
      </c>
      <c r="V10" s="3">
        <f t="shared" si="0"/>
        <v>2200362</v>
      </c>
      <c r="W10" s="3">
        <f t="shared" si="0"/>
        <v>157675</v>
      </c>
      <c r="X10" s="3">
        <f>SUM(X11:X25)</f>
        <v>501051</v>
      </c>
      <c r="Y10" s="3">
        <f t="shared" si="0"/>
        <v>7483855</v>
      </c>
      <c r="Z10" s="3">
        <f t="shared" si="0"/>
        <v>101686</v>
      </c>
      <c r="AA10" s="3">
        <f t="shared" si="0"/>
        <v>24284457</v>
      </c>
      <c r="AB10" s="5">
        <f t="shared" si="0"/>
        <v>301703134</v>
      </c>
    </row>
    <row r="11" spans="1:28" ht="30" customHeight="1">
      <c r="A11" s="10" t="s">
        <v>60</v>
      </c>
      <c r="B11" s="3"/>
      <c r="C11" s="3"/>
      <c r="D11" s="3"/>
      <c r="E11" s="3"/>
      <c r="F11" s="3"/>
      <c r="G11" s="3"/>
      <c r="H11" s="3"/>
      <c r="I11" s="3"/>
      <c r="J11" s="3">
        <f aca="true" t="shared" si="1" ref="J11:J25">SUM(B11:I11)</f>
        <v>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>
        <f>SUM(K11:Z11)</f>
        <v>0</v>
      </c>
      <c r="AB11" s="4">
        <f aca="true" t="shared" si="2" ref="AB11:AB25">SUM(J11,AA11)</f>
        <v>0</v>
      </c>
    </row>
    <row r="12" spans="1:28" ht="30" customHeight="1">
      <c r="A12" s="12" t="s">
        <v>132</v>
      </c>
      <c r="B12" s="93">
        <f>130410455-1292</f>
        <v>130409163</v>
      </c>
      <c r="C12" s="93">
        <f>142932799-304685</f>
        <v>142628114</v>
      </c>
      <c r="D12" s="3"/>
      <c r="E12" s="3">
        <v>59241</v>
      </c>
      <c r="F12" s="3"/>
      <c r="G12" s="3">
        <v>649983</v>
      </c>
      <c r="H12" s="3">
        <v>86613</v>
      </c>
      <c r="I12" s="3">
        <v>320</v>
      </c>
      <c r="J12" s="3">
        <f t="shared" si="1"/>
        <v>273833434</v>
      </c>
      <c r="K12" s="3"/>
      <c r="L12" s="3"/>
      <c r="M12" s="3"/>
      <c r="N12" s="3"/>
      <c r="O12" s="3">
        <v>8512999</v>
      </c>
      <c r="P12" s="3"/>
      <c r="Q12" s="3"/>
      <c r="R12" s="3">
        <v>1688640</v>
      </c>
      <c r="S12" s="3"/>
      <c r="T12" s="3">
        <v>99</v>
      </c>
      <c r="U12" s="3">
        <v>3277309</v>
      </c>
      <c r="V12" s="93">
        <f>2359813-159451</f>
        <v>2200362</v>
      </c>
      <c r="W12" s="3">
        <v>76820</v>
      </c>
      <c r="X12" s="93">
        <f>505622-11925</f>
        <v>493697</v>
      </c>
      <c r="Y12" s="3">
        <v>7235091</v>
      </c>
      <c r="Z12" s="3">
        <v>101686</v>
      </c>
      <c r="AA12" s="3">
        <f aca="true" t="shared" si="3" ref="AA12:AA25">SUM(K12:Z12)</f>
        <v>23586703</v>
      </c>
      <c r="AB12" s="4">
        <f t="shared" si="2"/>
        <v>297420137</v>
      </c>
    </row>
    <row r="13" spans="1:28" ht="30" customHeight="1">
      <c r="A13" s="10" t="s">
        <v>62</v>
      </c>
      <c r="B13" s="3"/>
      <c r="C13" s="3"/>
      <c r="D13" s="3"/>
      <c r="E13" s="3"/>
      <c r="F13" s="3"/>
      <c r="G13" s="3"/>
      <c r="H13" s="3"/>
      <c r="I13" s="3"/>
      <c r="J13" s="3">
        <f t="shared" si="1"/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 t="shared" si="3"/>
        <v>0</v>
      </c>
      <c r="AB13" s="4">
        <f t="shared" si="2"/>
        <v>0</v>
      </c>
    </row>
    <row r="14" spans="1:28" ht="30" customHeight="1">
      <c r="A14" s="10" t="s">
        <v>63</v>
      </c>
      <c r="B14" s="3">
        <v>687445</v>
      </c>
      <c r="C14" s="3">
        <v>514564</v>
      </c>
      <c r="D14" s="3"/>
      <c r="E14" s="3"/>
      <c r="F14" s="3"/>
      <c r="G14" s="3">
        <v>20928</v>
      </c>
      <c r="H14" s="3">
        <v>832</v>
      </c>
      <c r="I14" s="3">
        <v>273</v>
      </c>
      <c r="J14" s="3">
        <f t="shared" si="1"/>
        <v>1224042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>
        <v>7145</v>
      </c>
      <c r="Y14" s="3">
        <v>37258</v>
      </c>
      <c r="Z14" s="3"/>
      <c r="AA14" s="3">
        <f t="shared" si="3"/>
        <v>44403</v>
      </c>
      <c r="AB14" s="4">
        <f t="shared" si="2"/>
        <v>1268445</v>
      </c>
    </row>
    <row r="15" spans="1:28" ht="30" customHeight="1">
      <c r="A15" s="10" t="s">
        <v>64</v>
      </c>
      <c r="B15" s="3">
        <v>45965</v>
      </c>
      <c r="C15" s="3">
        <v>312159</v>
      </c>
      <c r="D15" s="3"/>
      <c r="E15" s="3"/>
      <c r="F15" s="3"/>
      <c r="G15" s="3"/>
      <c r="H15" s="3">
        <v>1927</v>
      </c>
      <c r="I15" s="3"/>
      <c r="J15" s="3">
        <f t="shared" si="1"/>
        <v>360051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93">
        <f>388305-27524</f>
        <v>360781</v>
      </c>
      <c r="V15" s="3"/>
      <c r="W15" s="3">
        <v>80855</v>
      </c>
      <c r="X15" s="3">
        <v>209</v>
      </c>
      <c r="Y15" s="3">
        <v>210007</v>
      </c>
      <c r="Z15" s="3"/>
      <c r="AA15" s="3">
        <f t="shared" si="3"/>
        <v>651852</v>
      </c>
      <c r="AB15" s="4">
        <f t="shared" si="2"/>
        <v>1011903</v>
      </c>
    </row>
    <row r="16" spans="1:28" ht="30" customHeight="1">
      <c r="A16" s="10" t="s">
        <v>65</v>
      </c>
      <c r="B16" s="3">
        <v>1437460</v>
      </c>
      <c r="C16" s="3"/>
      <c r="D16" s="3"/>
      <c r="E16" s="3"/>
      <c r="F16" s="3"/>
      <c r="G16" s="3">
        <v>240</v>
      </c>
      <c r="H16" s="3"/>
      <c r="I16" s="3"/>
      <c r="J16" s="3">
        <f t="shared" si="1"/>
        <v>1437700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>
        <f t="shared" si="3"/>
        <v>0</v>
      </c>
      <c r="AB16" s="4">
        <f t="shared" si="2"/>
        <v>1437700</v>
      </c>
    </row>
    <row r="17" spans="1:28" ht="30" customHeight="1">
      <c r="A17" s="10" t="s">
        <v>66</v>
      </c>
      <c r="B17" s="3"/>
      <c r="C17" s="3"/>
      <c r="D17" s="3"/>
      <c r="E17" s="3"/>
      <c r="F17" s="3"/>
      <c r="G17" s="3"/>
      <c r="H17" s="3"/>
      <c r="I17" s="3"/>
      <c r="J17" s="3">
        <f t="shared" si="1"/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>
        <f t="shared" si="3"/>
        <v>0</v>
      </c>
      <c r="AB17" s="4">
        <f t="shared" si="2"/>
        <v>0</v>
      </c>
    </row>
    <row r="18" spans="1:28" ht="30" customHeight="1">
      <c r="A18" s="12" t="s">
        <v>67</v>
      </c>
      <c r="B18" s="3"/>
      <c r="C18" s="3"/>
      <c r="D18" s="3"/>
      <c r="E18" s="3"/>
      <c r="F18" s="3"/>
      <c r="G18" s="3"/>
      <c r="H18" s="3"/>
      <c r="I18" s="3"/>
      <c r="J18" s="3">
        <f t="shared" si="1"/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3"/>
        <v>0</v>
      </c>
      <c r="AB18" s="4">
        <f t="shared" si="2"/>
        <v>0</v>
      </c>
    </row>
    <row r="19" spans="1:28" ht="30" customHeight="1">
      <c r="A19" s="12" t="s">
        <v>68</v>
      </c>
      <c r="B19" s="3"/>
      <c r="C19" s="3"/>
      <c r="D19" s="3"/>
      <c r="E19" s="3"/>
      <c r="F19" s="3"/>
      <c r="G19" s="3"/>
      <c r="H19" s="3"/>
      <c r="I19" s="3"/>
      <c r="J19" s="3">
        <f t="shared" si="1"/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3"/>
        <v>0</v>
      </c>
      <c r="AB19" s="4">
        <f t="shared" si="2"/>
        <v>0</v>
      </c>
    </row>
    <row r="20" spans="1:28" ht="30" customHeight="1">
      <c r="A20" s="10" t="s">
        <v>69</v>
      </c>
      <c r="B20" s="3"/>
      <c r="C20" s="3"/>
      <c r="D20" s="3"/>
      <c r="E20" s="3"/>
      <c r="F20" s="3"/>
      <c r="G20" s="3"/>
      <c r="H20" s="3"/>
      <c r="I20" s="3"/>
      <c r="J20" s="3">
        <f t="shared" si="1"/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3"/>
        <v>0</v>
      </c>
      <c r="AB20" s="4">
        <f t="shared" si="2"/>
        <v>0</v>
      </c>
    </row>
    <row r="21" spans="1:28" ht="30" customHeight="1">
      <c r="A21" s="12" t="s">
        <v>70</v>
      </c>
      <c r="B21" s="3"/>
      <c r="C21" s="3"/>
      <c r="D21" s="3"/>
      <c r="E21" s="3"/>
      <c r="F21" s="3"/>
      <c r="G21" s="3"/>
      <c r="H21" s="3"/>
      <c r="I21" s="3"/>
      <c r="J21" s="3">
        <f t="shared" si="1"/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3"/>
        <v>0</v>
      </c>
      <c r="AB21" s="4">
        <f t="shared" si="2"/>
        <v>0</v>
      </c>
    </row>
    <row r="22" spans="1:28" ht="30" customHeight="1">
      <c r="A22" s="10" t="s">
        <v>71</v>
      </c>
      <c r="B22" s="3"/>
      <c r="C22" s="3"/>
      <c r="D22" s="3"/>
      <c r="E22" s="3"/>
      <c r="F22" s="3"/>
      <c r="G22" s="3"/>
      <c r="H22" s="3"/>
      <c r="I22" s="3"/>
      <c r="J22" s="3">
        <f t="shared" si="1"/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>
        <f t="shared" si="3"/>
        <v>0</v>
      </c>
      <c r="AB22" s="4">
        <f t="shared" si="2"/>
        <v>0</v>
      </c>
    </row>
    <row r="23" spans="1:28" ht="30" customHeight="1">
      <c r="A23" s="10" t="s">
        <v>72</v>
      </c>
      <c r="B23" s="3"/>
      <c r="C23" s="3"/>
      <c r="D23" s="3"/>
      <c r="E23" s="3"/>
      <c r="F23" s="3"/>
      <c r="G23" s="3"/>
      <c r="H23" s="3"/>
      <c r="I23" s="3"/>
      <c r="J23" s="3">
        <f t="shared" si="1"/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>
        <f t="shared" si="3"/>
        <v>0</v>
      </c>
      <c r="AB23" s="4">
        <f t="shared" si="2"/>
        <v>0</v>
      </c>
    </row>
    <row r="24" spans="1:28" ht="30" customHeight="1">
      <c r="A24" s="84" t="s">
        <v>185</v>
      </c>
      <c r="B24" s="3">
        <v>2601</v>
      </c>
      <c r="C24" s="3">
        <v>356445</v>
      </c>
      <c r="D24" s="3"/>
      <c r="E24" s="3"/>
      <c r="F24" s="3"/>
      <c r="G24" s="3"/>
      <c r="H24" s="93">
        <f>193149-1206</f>
        <v>191943</v>
      </c>
      <c r="I24" s="3"/>
      <c r="J24" s="3">
        <f>SUM(B24:I24)</f>
        <v>550989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>
        <v>1499</v>
      </c>
      <c r="Z24" s="3"/>
      <c r="AA24" s="3">
        <f>SUM(K24:Z24)</f>
        <v>1499</v>
      </c>
      <c r="AB24" s="4">
        <f t="shared" si="2"/>
        <v>552488</v>
      </c>
    </row>
    <row r="25" spans="1:28" ht="30" customHeight="1">
      <c r="A25" s="12" t="s">
        <v>99</v>
      </c>
      <c r="B25" s="3">
        <v>12461</v>
      </c>
      <c r="C25" s="3"/>
      <c r="D25" s="3"/>
      <c r="E25" s="3"/>
      <c r="F25" s="3"/>
      <c r="G25" s="3"/>
      <c r="H25" s="3"/>
      <c r="I25" s="3"/>
      <c r="J25" s="3">
        <f t="shared" si="1"/>
        <v>12461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>
        <f t="shared" si="3"/>
        <v>0</v>
      </c>
      <c r="AB25" s="4">
        <f t="shared" si="2"/>
        <v>12461</v>
      </c>
    </row>
    <row r="26" spans="1:27" ht="48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8" ht="30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85"/>
    </row>
  </sheetData>
  <mergeCells count="1">
    <mergeCell ref="X6:X9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7"/>
  <sheetViews>
    <sheetView zoomScale="75" zoomScaleNormal="75" workbookViewId="0" topLeftCell="A3">
      <pane xSplit="1" ySplit="8" topLeftCell="B11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ColWidth="9.00390625" defaultRowHeight="15.75"/>
  <cols>
    <col min="1" max="1" width="27.375" style="83" customWidth="1"/>
    <col min="2" max="2" width="10.125" style="83" customWidth="1"/>
    <col min="3" max="3" width="10.00390625" style="83" customWidth="1"/>
    <col min="4" max="4" width="11.625" style="83" bestFit="1" customWidth="1"/>
    <col min="5" max="6" width="9.00390625" style="83" customWidth="1"/>
    <col min="7" max="7" width="11.00390625" style="83" customWidth="1"/>
    <col min="8" max="8" width="11.50390625" style="83" customWidth="1"/>
    <col min="9" max="9" width="9.00390625" style="83" customWidth="1"/>
    <col min="10" max="10" width="11.50390625" style="83" customWidth="1"/>
    <col min="11" max="12" width="9.875" style="83" customWidth="1"/>
    <col min="13" max="13" width="10.125" style="83" customWidth="1"/>
    <col min="14" max="14" width="11.00390625" style="83" customWidth="1"/>
    <col min="15" max="15" width="11.875" style="83" customWidth="1"/>
    <col min="16" max="16" width="10.625" style="83" customWidth="1"/>
    <col min="17" max="17" width="11.25390625" style="83" customWidth="1"/>
    <col min="18" max="18" width="11.50390625" style="83" customWidth="1"/>
    <col min="19" max="23" width="9.00390625" style="83" customWidth="1"/>
    <col min="24" max="24" width="9.25390625" style="83" customWidth="1"/>
    <col min="25" max="25" width="9.25390625" style="83" bestFit="1" customWidth="1"/>
    <col min="26" max="26" width="9.00390625" style="83" customWidth="1"/>
    <col min="27" max="27" width="10.375" style="83" customWidth="1"/>
    <col min="28" max="28" width="12.25390625" style="83" customWidth="1"/>
    <col min="29" max="16384" width="9.00390625" style="83" customWidth="1"/>
  </cols>
  <sheetData>
    <row r="1" spans="1:20" s="68" customFormat="1" ht="21">
      <c r="A1" s="67"/>
      <c r="B1" s="83"/>
      <c r="C1" s="83"/>
      <c r="D1" s="83"/>
      <c r="E1" s="2"/>
      <c r="F1" s="15" t="s">
        <v>95</v>
      </c>
      <c r="G1" s="16" t="s">
        <v>96</v>
      </c>
      <c r="S1" s="15" t="s">
        <v>95</v>
      </c>
      <c r="T1" s="16" t="s">
        <v>96</v>
      </c>
    </row>
    <row r="2" spans="4:20" s="68" customFormat="1" ht="27.75">
      <c r="D2" s="1"/>
      <c r="E2" s="1"/>
      <c r="F2" s="17" t="s">
        <v>97</v>
      </c>
      <c r="G2" s="18" t="s">
        <v>98</v>
      </c>
      <c r="S2" s="17" t="s">
        <v>97</v>
      </c>
      <c r="T2" s="18" t="s">
        <v>98</v>
      </c>
    </row>
    <row r="3" spans="6:28" s="68" customFormat="1" ht="16.5">
      <c r="F3" s="19" t="s">
        <v>126</v>
      </c>
      <c r="G3" s="35" t="s">
        <v>127</v>
      </c>
      <c r="M3" s="20" t="s">
        <v>0</v>
      </c>
      <c r="S3" s="19" t="s">
        <v>126</v>
      </c>
      <c r="T3" s="35" t="s">
        <v>127</v>
      </c>
      <c r="AB3" s="20" t="s">
        <v>0</v>
      </c>
    </row>
    <row r="4" spans="1:28" s="68" customFormat="1" ht="30" customHeight="1">
      <c r="A4" s="21" t="s">
        <v>128</v>
      </c>
      <c r="B4" s="22" t="s">
        <v>186</v>
      </c>
      <c r="C4" s="69"/>
      <c r="D4" s="69"/>
      <c r="E4" s="69"/>
      <c r="F4" s="69"/>
      <c r="G4" s="69"/>
      <c r="H4" s="69"/>
      <c r="I4" s="69"/>
      <c r="J4" s="70"/>
      <c r="K4" s="23" t="s">
        <v>187</v>
      </c>
      <c r="L4" s="71"/>
      <c r="M4" s="71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3"/>
      <c r="AB4" s="74"/>
    </row>
    <row r="5" spans="1:28" s="78" customFormat="1" ht="25.5" customHeight="1">
      <c r="A5" s="24" t="s">
        <v>129</v>
      </c>
      <c r="B5" s="25" t="s">
        <v>4</v>
      </c>
      <c r="C5" s="25" t="s">
        <v>5</v>
      </c>
      <c r="D5" s="25" t="s">
        <v>6</v>
      </c>
      <c r="E5" s="25" t="s">
        <v>7</v>
      </c>
      <c r="F5" s="26" t="s">
        <v>188</v>
      </c>
      <c r="G5" s="75"/>
      <c r="H5" s="75"/>
      <c r="I5" s="76"/>
      <c r="J5" s="44" t="s">
        <v>112</v>
      </c>
      <c r="K5" s="26" t="s">
        <v>189</v>
      </c>
      <c r="L5" s="75"/>
      <c r="M5" s="76"/>
      <c r="N5" s="26" t="s">
        <v>190</v>
      </c>
      <c r="O5" s="75"/>
      <c r="P5" s="75"/>
      <c r="Q5" s="76"/>
      <c r="R5" s="25" t="s">
        <v>11</v>
      </c>
      <c r="S5" s="25" t="s">
        <v>12</v>
      </c>
      <c r="T5" s="26" t="s">
        <v>191</v>
      </c>
      <c r="U5" s="75"/>
      <c r="V5" s="75"/>
      <c r="W5" s="75"/>
      <c r="X5" s="75"/>
      <c r="Y5" s="75"/>
      <c r="Z5" s="77"/>
      <c r="AA5" s="25" t="s">
        <v>13</v>
      </c>
      <c r="AB5" s="27" t="s">
        <v>14</v>
      </c>
    </row>
    <row r="6" spans="1:28" s="68" customFormat="1" ht="16.5">
      <c r="A6" s="79"/>
      <c r="B6" s="80"/>
      <c r="C6" s="28" t="s">
        <v>15</v>
      </c>
      <c r="D6" s="28" t="s">
        <v>16</v>
      </c>
      <c r="E6" s="28" t="s">
        <v>192</v>
      </c>
      <c r="F6" s="80"/>
      <c r="G6" s="80"/>
      <c r="H6" s="80"/>
      <c r="I6" s="80"/>
      <c r="J6" s="28" t="s">
        <v>193</v>
      </c>
      <c r="K6" s="80"/>
      <c r="L6" s="43" t="s">
        <v>194</v>
      </c>
      <c r="M6" s="43" t="s">
        <v>195</v>
      </c>
      <c r="N6" s="80" t="s">
        <v>17</v>
      </c>
      <c r="O6" s="80"/>
      <c r="P6" s="80"/>
      <c r="Q6" s="80"/>
      <c r="R6" s="28" t="s">
        <v>18</v>
      </c>
      <c r="S6" s="28" t="s">
        <v>196</v>
      </c>
      <c r="T6" s="80" t="s">
        <v>17</v>
      </c>
      <c r="U6" s="80" t="s">
        <v>17</v>
      </c>
      <c r="V6" s="80"/>
      <c r="W6" s="80"/>
      <c r="X6" s="107" t="s">
        <v>183</v>
      </c>
      <c r="Y6" s="80"/>
      <c r="Z6" s="80"/>
      <c r="AA6" s="28" t="s">
        <v>197</v>
      </c>
      <c r="AB6" s="81"/>
    </row>
    <row r="7" spans="1:28" s="68" customFormat="1" ht="16.5">
      <c r="A7" s="79"/>
      <c r="B7" s="28" t="s">
        <v>19</v>
      </c>
      <c r="C7" s="28" t="s">
        <v>198</v>
      </c>
      <c r="D7" s="80"/>
      <c r="E7" s="80" t="s">
        <v>17</v>
      </c>
      <c r="F7" s="28" t="s">
        <v>20</v>
      </c>
      <c r="G7" s="28" t="s">
        <v>21</v>
      </c>
      <c r="H7" s="28" t="s">
        <v>20</v>
      </c>
      <c r="I7" s="28" t="s">
        <v>20</v>
      </c>
      <c r="J7" s="80"/>
      <c r="K7" s="28" t="s">
        <v>22</v>
      </c>
      <c r="L7" s="28" t="s">
        <v>199</v>
      </c>
      <c r="M7" s="28" t="s">
        <v>23</v>
      </c>
      <c r="N7" s="28" t="s">
        <v>20</v>
      </c>
      <c r="O7" s="28" t="s">
        <v>21</v>
      </c>
      <c r="P7" s="28" t="s">
        <v>20</v>
      </c>
      <c r="Q7" s="28" t="s">
        <v>20</v>
      </c>
      <c r="R7" s="80"/>
      <c r="S7" s="80"/>
      <c r="T7" s="28" t="s">
        <v>24</v>
      </c>
      <c r="U7" s="28" t="s">
        <v>25</v>
      </c>
      <c r="V7" s="28" t="s">
        <v>26</v>
      </c>
      <c r="W7" s="28" t="s">
        <v>27</v>
      </c>
      <c r="X7" s="108"/>
      <c r="Y7" s="28" t="s">
        <v>28</v>
      </c>
      <c r="Z7" s="28" t="s">
        <v>29</v>
      </c>
      <c r="AA7" s="80"/>
      <c r="AB7" s="81"/>
    </row>
    <row r="8" spans="1:28" s="68" customFormat="1" ht="16.5">
      <c r="A8" s="29" t="s">
        <v>130</v>
      </c>
      <c r="B8" s="80"/>
      <c r="C8" s="28" t="s">
        <v>31</v>
      </c>
      <c r="D8" s="28" t="s">
        <v>32</v>
      </c>
      <c r="E8" s="28" t="s">
        <v>200</v>
      </c>
      <c r="F8" s="28" t="s">
        <v>33</v>
      </c>
      <c r="G8" s="28" t="s">
        <v>34</v>
      </c>
      <c r="H8" s="28" t="s">
        <v>35</v>
      </c>
      <c r="I8" s="28" t="s">
        <v>36</v>
      </c>
      <c r="J8" s="28" t="s">
        <v>201</v>
      </c>
      <c r="K8" s="80"/>
      <c r="L8" s="28" t="s">
        <v>202</v>
      </c>
      <c r="M8" s="80"/>
      <c r="N8" s="28" t="s">
        <v>33</v>
      </c>
      <c r="O8" s="28" t="s">
        <v>34</v>
      </c>
      <c r="P8" s="28" t="s">
        <v>35</v>
      </c>
      <c r="Q8" s="28" t="s">
        <v>36</v>
      </c>
      <c r="R8" s="28" t="s">
        <v>37</v>
      </c>
      <c r="S8" s="28" t="s">
        <v>203</v>
      </c>
      <c r="T8" s="80"/>
      <c r="U8" s="28" t="s">
        <v>24</v>
      </c>
      <c r="V8" s="80"/>
      <c r="W8" s="80"/>
      <c r="X8" s="108"/>
      <c r="Y8" s="28" t="s">
        <v>38</v>
      </c>
      <c r="Z8" s="80"/>
      <c r="AA8" s="28" t="s">
        <v>201</v>
      </c>
      <c r="AB8" s="30" t="s">
        <v>39</v>
      </c>
    </row>
    <row r="9" spans="1:28" s="68" customFormat="1" ht="16.5">
      <c r="A9" s="31" t="s">
        <v>129</v>
      </c>
      <c r="B9" s="32" t="s">
        <v>40</v>
      </c>
      <c r="C9" s="32" t="s">
        <v>41</v>
      </c>
      <c r="D9" s="32" t="s">
        <v>42</v>
      </c>
      <c r="E9" s="32" t="s">
        <v>43</v>
      </c>
      <c r="F9" s="32" t="s">
        <v>44</v>
      </c>
      <c r="G9" s="32" t="s">
        <v>45</v>
      </c>
      <c r="H9" s="32" t="s">
        <v>46</v>
      </c>
      <c r="I9" s="32" t="s">
        <v>47</v>
      </c>
      <c r="J9" s="32" t="s">
        <v>48</v>
      </c>
      <c r="K9" s="32" t="s">
        <v>49</v>
      </c>
      <c r="L9" s="32" t="s">
        <v>204</v>
      </c>
      <c r="M9" s="32" t="s">
        <v>51</v>
      </c>
      <c r="N9" s="32" t="s">
        <v>44</v>
      </c>
      <c r="O9" s="32" t="s">
        <v>205</v>
      </c>
      <c r="P9" s="32" t="s">
        <v>46</v>
      </c>
      <c r="Q9" s="32" t="s">
        <v>47</v>
      </c>
      <c r="R9" s="32" t="s">
        <v>52</v>
      </c>
      <c r="S9" s="32" t="s">
        <v>53</v>
      </c>
      <c r="T9" s="32" t="s">
        <v>54</v>
      </c>
      <c r="U9" s="32" t="s">
        <v>54</v>
      </c>
      <c r="V9" s="32" t="s">
        <v>55</v>
      </c>
      <c r="W9" s="32" t="s">
        <v>56</v>
      </c>
      <c r="X9" s="109"/>
      <c r="Y9" s="32" t="s">
        <v>57</v>
      </c>
      <c r="Z9" s="32" t="s">
        <v>58</v>
      </c>
      <c r="AA9" s="32" t="s">
        <v>48</v>
      </c>
      <c r="AB9" s="82"/>
    </row>
    <row r="10" spans="1:28" ht="30" customHeight="1">
      <c r="A10" s="79" t="s">
        <v>131</v>
      </c>
      <c r="B10" s="3">
        <f aca="true" t="shared" si="0" ref="B10:AB10">SUM(B11:B25)</f>
        <v>33988790</v>
      </c>
      <c r="C10" s="3">
        <f t="shared" si="0"/>
        <v>10140285</v>
      </c>
      <c r="D10" s="3">
        <f t="shared" si="0"/>
        <v>116244028</v>
      </c>
      <c r="E10" s="3">
        <f t="shared" si="0"/>
        <v>32530</v>
      </c>
      <c r="F10" s="3">
        <f t="shared" si="0"/>
        <v>131243</v>
      </c>
      <c r="G10" s="3">
        <f t="shared" si="0"/>
        <v>152058</v>
      </c>
      <c r="H10" s="3">
        <f t="shared" si="0"/>
        <v>11739418</v>
      </c>
      <c r="I10" s="3">
        <f t="shared" si="0"/>
        <v>173510</v>
      </c>
      <c r="J10" s="3">
        <f t="shared" si="0"/>
        <v>172601862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3">
        <f t="shared" si="0"/>
        <v>0</v>
      </c>
      <c r="Q10" s="3">
        <f t="shared" si="0"/>
        <v>0</v>
      </c>
      <c r="R10" s="3">
        <f t="shared" si="0"/>
        <v>11971</v>
      </c>
      <c r="S10" s="3">
        <f t="shared" si="0"/>
        <v>0</v>
      </c>
      <c r="T10" s="3">
        <f t="shared" si="0"/>
        <v>0</v>
      </c>
      <c r="U10" s="3">
        <f t="shared" si="0"/>
        <v>774694</v>
      </c>
      <c r="V10" s="3">
        <f t="shared" si="0"/>
        <v>0</v>
      </c>
      <c r="W10" s="3">
        <f t="shared" si="0"/>
        <v>24732</v>
      </c>
      <c r="X10" s="3">
        <f>SUM(X11:X25)</f>
        <v>115290</v>
      </c>
      <c r="Y10" s="3">
        <f t="shared" si="0"/>
        <v>523097</v>
      </c>
      <c r="Z10" s="3">
        <f t="shared" si="0"/>
        <v>0</v>
      </c>
      <c r="AA10" s="3">
        <f t="shared" si="0"/>
        <v>1449784</v>
      </c>
      <c r="AB10" s="5">
        <f t="shared" si="0"/>
        <v>174051646</v>
      </c>
    </row>
    <row r="11" spans="1:28" ht="30" customHeight="1">
      <c r="A11" s="10" t="s">
        <v>60</v>
      </c>
      <c r="B11" s="3">
        <v>16142639</v>
      </c>
      <c r="C11" s="93">
        <f>9635074-3000</f>
        <v>9632074</v>
      </c>
      <c r="D11" s="3"/>
      <c r="E11" s="3">
        <v>32530</v>
      </c>
      <c r="F11" s="3">
        <v>131243</v>
      </c>
      <c r="G11" s="3">
        <v>150424</v>
      </c>
      <c r="H11" s="3">
        <v>34</v>
      </c>
      <c r="I11" s="3">
        <v>10</v>
      </c>
      <c r="J11" s="3">
        <f aca="true" t="shared" si="1" ref="J11:J25">SUM(B11:I11)</f>
        <v>26088954</v>
      </c>
      <c r="K11" s="3"/>
      <c r="L11" s="3"/>
      <c r="M11" s="3"/>
      <c r="N11" s="3"/>
      <c r="O11" s="3"/>
      <c r="P11" s="3"/>
      <c r="Q11" s="3"/>
      <c r="R11" s="3">
        <v>11971</v>
      </c>
      <c r="S11" s="3"/>
      <c r="T11" s="3"/>
      <c r="U11" s="3">
        <v>774694</v>
      </c>
      <c r="V11" s="3"/>
      <c r="W11" s="3">
        <v>24732</v>
      </c>
      <c r="X11" s="3">
        <v>115290</v>
      </c>
      <c r="Y11" s="3">
        <v>523097</v>
      </c>
      <c r="Z11" s="3"/>
      <c r="AA11" s="3">
        <f>SUM(K11:Z11)</f>
        <v>1449784</v>
      </c>
      <c r="AB11" s="4">
        <f aca="true" t="shared" si="2" ref="AB11:AB25">SUM(J11,AA11)</f>
        <v>27538738</v>
      </c>
    </row>
    <row r="12" spans="1:28" ht="30" customHeight="1">
      <c r="A12" s="12" t="s">
        <v>132</v>
      </c>
      <c r="B12" s="3"/>
      <c r="C12" s="3"/>
      <c r="D12" s="3"/>
      <c r="E12" s="3"/>
      <c r="F12" s="3"/>
      <c r="G12" s="3"/>
      <c r="H12" s="3"/>
      <c r="I12" s="3"/>
      <c r="J12" s="3">
        <f t="shared" si="1"/>
        <v>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aca="true" t="shared" si="3" ref="AA12:AA25">SUM(K12:Z12)</f>
        <v>0</v>
      </c>
      <c r="AB12" s="4">
        <f t="shared" si="2"/>
        <v>0</v>
      </c>
    </row>
    <row r="13" spans="1:28" ht="30" customHeight="1">
      <c r="A13" s="10" t="s">
        <v>62</v>
      </c>
      <c r="B13" s="3"/>
      <c r="C13" s="3"/>
      <c r="D13" s="3"/>
      <c r="E13" s="3"/>
      <c r="F13" s="3"/>
      <c r="G13" s="3"/>
      <c r="H13" s="3"/>
      <c r="I13" s="3"/>
      <c r="J13" s="3">
        <f t="shared" si="1"/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 t="shared" si="3"/>
        <v>0</v>
      </c>
      <c r="AB13" s="4">
        <f t="shared" si="2"/>
        <v>0</v>
      </c>
    </row>
    <row r="14" spans="1:28" ht="30" customHeight="1">
      <c r="A14" s="10" t="s">
        <v>63</v>
      </c>
      <c r="B14" s="3"/>
      <c r="C14" s="3"/>
      <c r="D14" s="3"/>
      <c r="E14" s="3"/>
      <c r="F14" s="3"/>
      <c r="G14" s="3"/>
      <c r="H14" s="3"/>
      <c r="I14" s="3"/>
      <c r="J14" s="3">
        <f t="shared" si="1"/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 t="shared" si="3"/>
        <v>0</v>
      </c>
      <c r="AB14" s="4">
        <f t="shared" si="2"/>
        <v>0</v>
      </c>
    </row>
    <row r="15" spans="1:28" ht="30" customHeight="1">
      <c r="A15" s="10" t="s">
        <v>64</v>
      </c>
      <c r="B15" s="3"/>
      <c r="C15" s="3"/>
      <c r="D15" s="3"/>
      <c r="E15" s="3"/>
      <c r="F15" s="3"/>
      <c r="G15" s="3"/>
      <c r="H15" s="3"/>
      <c r="I15" s="3"/>
      <c r="J15" s="3">
        <f t="shared" si="1"/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>
        <f t="shared" si="3"/>
        <v>0</v>
      </c>
      <c r="AB15" s="4">
        <f t="shared" si="2"/>
        <v>0</v>
      </c>
    </row>
    <row r="16" spans="1:28" ht="30" customHeight="1">
      <c r="A16" s="10" t="s">
        <v>65</v>
      </c>
      <c r="B16" s="3">
        <v>17628994</v>
      </c>
      <c r="C16" s="3"/>
      <c r="D16" s="3"/>
      <c r="E16" s="3"/>
      <c r="F16" s="3"/>
      <c r="G16" s="3">
        <v>1634</v>
      </c>
      <c r="H16" s="3"/>
      <c r="I16" s="3"/>
      <c r="J16" s="3">
        <f t="shared" si="1"/>
        <v>17630628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>
        <f t="shared" si="3"/>
        <v>0</v>
      </c>
      <c r="AB16" s="4">
        <f t="shared" si="2"/>
        <v>17630628</v>
      </c>
    </row>
    <row r="17" spans="1:28" ht="30" customHeight="1">
      <c r="A17" s="10" t="s">
        <v>66</v>
      </c>
      <c r="B17" s="3"/>
      <c r="C17" s="3"/>
      <c r="D17" s="3"/>
      <c r="E17" s="3"/>
      <c r="F17" s="3"/>
      <c r="G17" s="3"/>
      <c r="H17" s="3"/>
      <c r="I17" s="3"/>
      <c r="J17" s="3">
        <f t="shared" si="1"/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>
        <f t="shared" si="3"/>
        <v>0</v>
      </c>
      <c r="AB17" s="4">
        <f t="shared" si="2"/>
        <v>0</v>
      </c>
    </row>
    <row r="18" spans="1:28" ht="30" customHeight="1">
      <c r="A18" s="12" t="s">
        <v>67</v>
      </c>
      <c r="B18" s="3"/>
      <c r="C18" s="3"/>
      <c r="D18" s="3"/>
      <c r="E18" s="3"/>
      <c r="F18" s="3"/>
      <c r="G18" s="3"/>
      <c r="H18" s="3"/>
      <c r="I18" s="3"/>
      <c r="J18" s="3">
        <f t="shared" si="1"/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3"/>
        <v>0</v>
      </c>
      <c r="AB18" s="4">
        <f t="shared" si="2"/>
        <v>0</v>
      </c>
    </row>
    <row r="19" spans="1:28" ht="30" customHeight="1">
      <c r="A19" s="12" t="s">
        <v>68</v>
      </c>
      <c r="B19" s="3"/>
      <c r="C19" s="3"/>
      <c r="D19" s="3"/>
      <c r="E19" s="3"/>
      <c r="F19" s="3"/>
      <c r="G19" s="3"/>
      <c r="H19" s="3"/>
      <c r="I19" s="3"/>
      <c r="J19" s="3">
        <f t="shared" si="1"/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3"/>
        <v>0</v>
      </c>
      <c r="AB19" s="4">
        <f t="shared" si="2"/>
        <v>0</v>
      </c>
    </row>
    <row r="20" spans="1:28" ht="30" customHeight="1">
      <c r="A20" s="10" t="s">
        <v>69</v>
      </c>
      <c r="B20" s="3"/>
      <c r="C20" s="3"/>
      <c r="D20" s="3"/>
      <c r="E20" s="3"/>
      <c r="F20" s="3"/>
      <c r="G20" s="3"/>
      <c r="H20" s="3"/>
      <c r="I20" s="3"/>
      <c r="J20" s="3">
        <f t="shared" si="1"/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3"/>
        <v>0</v>
      </c>
      <c r="AB20" s="4">
        <f t="shared" si="2"/>
        <v>0</v>
      </c>
    </row>
    <row r="21" spans="1:28" ht="30" customHeight="1">
      <c r="A21" s="12" t="s">
        <v>70</v>
      </c>
      <c r="B21" s="3"/>
      <c r="C21" s="3"/>
      <c r="D21" s="3"/>
      <c r="E21" s="3"/>
      <c r="F21" s="3"/>
      <c r="G21" s="3"/>
      <c r="H21" s="3"/>
      <c r="I21" s="3"/>
      <c r="J21" s="3">
        <f t="shared" si="1"/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3"/>
        <v>0</v>
      </c>
      <c r="AB21" s="4">
        <f t="shared" si="2"/>
        <v>0</v>
      </c>
    </row>
    <row r="22" spans="1:28" ht="30" customHeight="1">
      <c r="A22" s="10" t="s">
        <v>71</v>
      </c>
      <c r="B22" s="3"/>
      <c r="C22" s="3"/>
      <c r="D22" s="3"/>
      <c r="E22" s="3"/>
      <c r="F22" s="3"/>
      <c r="G22" s="3"/>
      <c r="H22" s="3"/>
      <c r="I22" s="3"/>
      <c r="J22" s="3">
        <f t="shared" si="1"/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>
        <f t="shared" si="3"/>
        <v>0</v>
      </c>
      <c r="AB22" s="4">
        <f t="shared" si="2"/>
        <v>0</v>
      </c>
    </row>
    <row r="23" spans="1:28" ht="30" customHeight="1">
      <c r="A23" s="10" t="s">
        <v>72</v>
      </c>
      <c r="B23" s="3"/>
      <c r="C23" s="3"/>
      <c r="D23" s="3"/>
      <c r="E23" s="3"/>
      <c r="F23" s="3"/>
      <c r="G23" s="3"/>
      <c r="H23" s="3"/>
      <c r="I23" s="3">
        <v>173500</v>
      </c>
      <c r="J23" s="3">
        <f t="shared" si="1"/>
        <v>173500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>
        <f t="shared" si="3"/>
        <v>0</v>
      </c>
      <c r="AB23" s="4">
        <f t="shared" si="2"/>
        <v>173500</v>
      </c>
    </row>
    <row r="24" spans="1:28" ht="30" customHeight="1">
      <c r="A24" s="84" t="s">
        <v>185</v>
      </c>
      <c r="B24" s="3"/>
      <c r="C24" s="3"/>
      <c r="D24" s="3"/>
      <c r="E24" s="3"/>
      <c r="F24" s="3"/>
      <c r="G24" s="3"/>
      <c r="H24" s="3"/>
      <c r="I24" s="3"/>
      <c r="J24" s="3">
        <f>SUM(B24:I24)</f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>
        <f>SUM(K24:Z24)</f>
        <v>0</v>
      </c>
      <c r="AB24" s="4">
        <f t="shared" si="2"/>
        <v>0</v>
      </c>
    </row>
    <row r="25" spans="1:28" ht="30" customHeight="1">
      <c r="A25" s="12" t="s">
        <v>99</v>
      </c>
      <c r="B25" s="3">
        <v>217157</v>
      </c>
      <c r="C25" s="3">
        <v>508211</v>
      </c>
      <c r="D25" s="3">
        <v>116244028</v>
      </c>
      <c r="E25" s="3"/>
      <c r="F25" s="3"/>
      <c r="G25" s="3"/>
      <c r="H25" s="3">
        <v>11739384</v>
      </c>
      <c r="I25" s="3"/>
      <c r="J25" s="3">
        <f t="shared" si="1"/>
        <v>128708780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>
        <f t="shared" si="3"/>
        <v>0</v>
      </c>
      <c r="AB25" s="4">
        <f t="shared" si="2"/>
        <v>128708780</v>
      </c>
    </row>
    <row r="26" spans="1:27" ht="48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8" ht="30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85"/>
    </row>
  </sheetData>
  <mergeCells count="1">
    <mergeCell ref="X6:X9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7"/>
  <sheetViews>
    <sheetView zoomScale="75" zoomScaleNormal="75" workbookViewId="0" topLeftCell="A5">
      <pane xSplit="1" ySplit="6" topLeftCell="R12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ColWidth="9.00390625" defaultRowHeight="15.75"/>
  <cols>
    <col min="1" max="1" width="27.375" style="83" customWidth="1"/>
    <col min="2" max="2" width="10.125" style="83" customWidth="1"/>
    <col min="3" max="3" width="10.00390625" style="83" customWidth="1"/>
    <col min="4" max="4" width="8.75390625" style="83" customWidth="1"/>
    <col min="5" max="5" width="9.00390625" style="83" customWidth="1"/>
    <col min="6" max="6" width="10.625" style="83" bestFit="1" customWidth="1"/>
    <col min="7" max="7" width="11.00390625" style="83" customWidth="1"/>
    <col min="8" max="8" width="11.50390625" style="83" customWidth="1"/>
    <col min="9" max="9" width="9.00390625" style="83" customWidth="1"/>
    <col min="10" max="10" width="11.50390625" style="83" customWidth="1"/>
    <col min="11" max="12" width="9.875" style="83" customWidth="1"/>
    <col min="13" max="13" width="10.125" style="83" customWidth="1"/>
    <col min="14" max="14" width="11.00390625" style="83" customWidth="1"/>
    <col min="15" max="15" width="11.875" style="83" customWidth="1"/>
    <col min="16" max="16" width="10.625" style="83" customWidth="1"/>
    <col min="17" max="17" width="11.25390625" style="83" customWidth="1"/>
    <col min="18" max="18" width="11.50390625" style="83" customWidth="1"/>
    <col min="19" max="20" width="9.00390625" style="83" customWidth="1"/>
    <col min="21" max="21" width="9.75390625" style="83" bestFit="1" customWidth="1"/>
    <col min="22" max="22" width="9.375" style="83" bestFit="1" customWidth="1"/>
    <col min="23" max="24" width="9.00390625" style="83" customWidth="1"/>
    <col min="25" max="25" width="9.75390625" style="83" bestFit="1" customWidth="1"/>
    <col min="26" max="26" width="9.00390625" style="83" customWidth="1"/>
    <col min="27" max="27" width="10.375" style="83" customWidth="1"/>
    <col min="28" max="28" width="12.25390625" style="83" customWidth="1"/>
    <col min="29" max="16384" width="9.00390625" style="83" customWidth="1"/>
  </cols>
  <sheetData>
    <row r="1" spans="1:20" s="68" customFormat="1" ht="21">
      <c r="A1" s="67"/>
      <c r="B1" s="83"/>
      <c r="C1" s="83"/>
      <c r="D1" s="83"/>
      <c r="E1" s="2"/>
      <c r="F1" s="15" t="s">
        <v>95</v>
      </c>
      <c r="G1" s="16" t="s">
        <v>96</v>
      </c>
      <c r="S1" s="15" t="s">
        <v>95</v>
      </c>
      <c r="T1" s="16" t="s">
        <v>96</v>
      </c>
    </row>
    <row r="2" spans="4:20" s="68" customFormat="1" ht="27.75">
      <c r="D2" s="1"/>
      <c r="E2" s="1"/>
      <c r="F2" s="17" t="s">
        <v>97</v>
      </c>
      <c r="G2" s="18" t="s">
        <v>98</v>
      </c>
      <c r="S2" s="17" t="s">
        <v>97</v>
      </c>
      <c r="T2" s="18" t="s">
        <v>98</v>
      </c>
    </row>
    <row r="3" spans="6:28" s="68" customFormat="1" ht="16.5">
      <c r="F3" s="19" t="s">
        <v>126</v>
      </c>
      <c r="G3" s="35" t="s">
        <v>127</v>
      </c>
      <c r="M3" s="20" t="s">
        <v>0</v>
      </c>
      <c r="S3" s="19" t="s">
        <v>126</v>
      </c>
      <c r="T3" s="35" t="s">
        <v>127</v>
      </c>
      <c r="AB3" s="20" t="s">
        <v>0</v>
      </c>
    </row>
    <row r="4" spans="1:28" s="68" customFormat="1" ht="30" customHeight="1">
      <c r="A4" s="21" t="s">
        <v>128</v>
      </c>
      <c r="B4" s="22" t="s">
        <v>186</v>
      </c>
      <c r="C4" s="69"/>
      <c r="D4" s="69"/>
      <c r="E4" s="69"/>
      <c r="F4" s="69"/>
      <c r="G4" s="69"/>
      <c r="H4" s="69"/>
      <c r="I4" s="69"/>
      <c r="J4" s="70"/>
      <c r="K4" s="23" t="s">
        <v>187</v>
      </c>
      <c r="L4" s="71"/>
      <c r="M4" s="71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3"/>
      <c r="AB4" s="74"/>
    </row>
    <row r="5" spans="1:28" s="78" customFormat="1" ht="25.5" customHeight="1">
      <c r="A5" s="24" t="s">
        <v>129</v>
      </c>
      <c r="B5" s="25" t="s">
        <v>4</v>
      </c>
      <c r="C5" s="25" t="s">
        <v>5</v>
      </c>
      <c r="D5" s="25" t="s">
        <v>6</v>
      </c>
      <c r="E5" s="25" t="s">
        <v>7</v>
      </c>
      <c r="F5" s="26" t="s">
        <v>188</v>
      </c>
      <c r="G5" s="75"/>
      <c r="H5" s="75"/>
      <c r="I5" s="76"/>
      <c r="J5" s="44" t="s">
        <v>112</v>
      </c>
      <c r="K5" s="26" t="s">
        <v>189</v>
      </c>
      <c r="L5" s="75"/>
      <c r="M5" s="76"/>
      <c r="N5" s="26" t="s">
        <v>190</v>
      </c>
      <c r="O5" s="75"/>
      <c r="P5" s="75"/>
      <c r="Q5" s="76"/>
      <c r="R5" s="25" t="s">
        <v>11</v>
      </c>
      <c r="S5" s="25" t="s">
        <v>12</v>
      </c>
      <c r="T5" s="26" t="s">
        <v>191</v>
      </c>
      <c r="U5" s="75"/>
      <c r="V5" s="75"/>
      <c r="W5" s="75"/>
      <c r="X5" s="75"/>
      <c r="Y5" s="75"/>
      <c r="Z5" s="77"/>
      <c r="AA5" s="25" t="s">
        <v>13</v>
      </c>
      <c r="AB5" s="27" t="s">
        <v>14</v>
      </c>
    </row>
    <row r="6" spans="1:28" s="68" customFormat="1" ht="16.5">
      <c r="A6" s="79"/>
      <c r="B6" s="80"/>
      <c r="C6" s="28" t="s">
        <v>15</v>
      </c>
      <c r="D6" s="28" t="s">
        <v>16</v>
      </c>
      <c r="E6" s="28" t="s">
        <v>192</v>
      </c>
      <c r="F6" s="80"/>
      <c r="G6" s="80"/>
      <c r="H6" s="80"/>
      <c r="I6" s="80"/>
      <c r="J6" s="28" t="s">
        <v>193</v>
      </c>
      <c r="K6" s="80"/>
      <c r="L6" s="43" t="s">
        <v>194</v>
      </c>
      <c r="M6" s="43" t="s">
        <v>195</v>
      </c>
      <c r="N6" s="80" t="s">
        <v>17</v>
      </c>
      <c r="O6" s="80"/>
      <c r="P6" s="80"/>
      <c r="Q6" s="80"/>
      <c r="R6" s="28" t="s">
        <v>18</v>
      </c>
      <c r="S6" s="28" t="s">
        <v>196</v>
      </c>
      <c r="T6" s="80" t="s">
        <v>17</v>
      </c>
      <c r="U6" s="80" t="s">
        <v>17</v>
      </c>
      <c r="V6" s="80"/>
      <c r="W6" s="80"/>
      <c r="X6" s="107" t="s">
        <v>183</v>
      </c>
      <c r="Y6" s="80"/>
      <c r="Z6" s="80"/>
      <c r="AA6" s="28" t="s">
        <v>197</v>
      </c>
      <c r="AB6" s="81"/>
    </row>
    <row r="7" spans="1:28" s="68" customFormat="1" ht="16.5">
      <c r="A7" s="79"/>
      <c r="B7" s="28" t="s">
        <v>19</v>
      </c>
      <c r="C7" s="28" t="s">
        <v>198</v>
      </c>
      <c r="D7" s="80"/>
      <c r="E7" s="80" t="s">
        <v>17</v>
      </c>
      <c r="F7" s="28" t="s">
        <v>20</v>
      </c>
      <c r="G7" s="28" t="s">
        <v>21</v>
      </c>
      <c r="H7" s="28" t="s">
        <v>20</v>
      </c>
      <c r="I7" s="28" t="s">
        <v>20</v>
      </c>
      <c r="J7" s="80"/>
      <c r="K7" s="28" t="s">
        <v>22</v>
      </c>
      <c r="L7" s="28" t="s">
        <v>199</v>
      </c>
      <c r="M7" s="28" t="s">
        <v>23</v>
      </c>
      <c r="N7" s="28" t="s">
        <v>20</v>
      </c>
      <c r="O7" s="28" t="s">
        <v>21</v>
      </c>
      <c r="P7" s="28" t="s">
        <v>20</v>
      </c>
      <c r="Q7" s="28" t="s">
        <v>20</v>
      </c>
      <c r="R7" s="80"/>
      <c r="S7" s="80"/>
      <c r="T7" s="28" t="s">
        <v>24</v>
      </c>
      <c r="U7" s="28" t="s">
        <v>25</v>
      </c>
      <c r="V7" s="28" t="s">
        <v>26</v>
      </c>
      <c r="W7" s="28" t="s">
        <v>27</v>
      </c>
      <c r="X7" s="108"/>
      <c r="Y7" s="28" t="s">
        <v>28</v>
      </c>
      <c r="Z7" s="28" t="s">
        <v>29</v>
      </c>
      <c r="AA7" s="80"/>
      <c r="AB7" s="81"/>
    </row>
    <row r="8" spans="1:28" s="68" customFormat="1" ht="16.5">
      <c r="A8" s="29" t="s">
        <v>130</v>
      </c>
      <c r="B8" s="80"/>
      <c r="C8" s="28" t="s">
        <v>31</v>
      </c>
      <c r="D8" s="28" t="s">
        <v>32</v>
      </c>
      <c r="E8" s="28" t="s">
        <v>200</v>
      </c>
      <c r="F8" s="28" t="s">
        <v>33</v>
      </c>
      <c r="G8" s="28" t="s">
        <v>34</v>
      </c>
      <c r="H8" s="28" t="s">
        <v>35</v>
      </c>
      <c r="I8" s="28" t="s">
        <v>36</v>
      </c>
      <c r="J8" s="28" t="s">
        <v>201</v>
      </c>
      <c r="K8" s="80"/>
      <c r="L8" s="28" t="s">
        <v>202</v>
      </c>
      <c r="M8" s="80"/>
      <c r="N8" s="28" t="s">
        <v>33</v>
      </c>
      <c r="O8" s="28" t="s">
        <v>34</v>
      </c>
      <c r="P8" s="28" t="s">
        <v>35</v>
      </c>
      <c r="Q8" s="28" t="s">
        <v>36</v>
      </c>
      <c r="R8" s="28" t="s">
        <v>37</v>
      </c>
      <c r="S8" s="28" t="s">
        <v>203</v>
      </c>
      <c r="T8" s="80"/>
      <c r="U8" s="28" t="s">
        <v>24</v>
      </c>
      <c r="V8" s="80"/>
      <c r="W8" s="80"/>
      <c r="X8" s="108"/>
      <c r="Y8" s="28" t="s">
        <v>38</v>
      </c>
      <c r="Z8" s="80"/>
      <c r="AA8" s="28" t="s">
        <v>201</v>
      </c>
      <c r="AB8" s="30" t="s">
        <v>39</v>
      </c>
    </row>
    <row r="9" spans="1:28" s="68" customFormat="1" ht="16.5">
      <c r="A9" s="31" t="s">
        <v>129</v>
      </c>
      <c r="B9" s="32" t="s">
        <v>40</v>
      </c>
      <c r="C9" s="32" t="s">
        <v>41</v>
      </c>
      <c r="D9" s="32" t="s">
        <v>42</v>
      </c>
      <c r="E9" s="32" t="s">
        <v>43</v>
      </c>
      <c r="F9" s="32" t="s">
        <v>44</v>
      </c>
      <c r="G9" s="32" t="s">
        <v>45</v>
      </c>
      <c r="H9" s="32" t="s">
        <v>46</v>
      </c>
      <c r="I9" s="32" t="s">
        <v>47</v>
      </c>
      <c r="J9" s="32" t="s">
        <v>48</v>
      </c>
      <c r="K9" s="32" t="s">
        <v>49</v>
      </c>
      <c r="L9" s="32" t="s">
        <v>204</v>
      </c>
      <c r="M9" s="32" t="s">
        <v>51</v>
      </c>
      <c r="N9" s="32" t="s">
        <v>44</v>
      </c>
      <c r="O9" s="32" t="s">
        <v>205</v>
      </c>
      <c r="P9" s="32" t="s">
        <v>46</v>
      </c>
      <c r="Q9" s="32" t="s">
        <v>47</v>
      </c>
      <c r="R9" s="32" t="s">
        <v>52</v>
      </c>
      <c r="S9" s="32" t="s">
        <v>53</v>
      </c>
      <c r="T9" s="32" t="s">
        <v>54</v>
      </c>
      <c r="U9" s="32" t="s">
        <v>54</v>
      </c>
      <c r="V9" s="32" t="s">
        <v>55</v>
      </c>
      <c r="W9" s="32" t="s">
        <v>56</v>
      </c>
      <c r="X9" s="109"/>
      <c r="Y9" s="32" t="s">
        <v>57</v>
      </c>
      <c r="Z9" s="32" t="s">
        <v>58</v>
      </c>
      <c r="AA9" s="32" t="s">
        <v>48</v>
      </c>
      <c r="AB9" s="82"/>
    </row>
    <row r="10" spans="1:28" ht="30" customHeight="1">
      <c r="A10" s="79" t="s">
        <v>131</v>
      </c>
      <c r="B10" s="3">
        <f aca="true" t="shared" si="0" ref="B10:AB10">SUM(B11:B25)</f>
        <v>26775684</v>
      </c>
      <c r="C10" s="3">
        <f t="shared" si="0"/>
        <v>4989015</v>
      </c>
      <c r="D10" s="3">
        <f t="shared" si="0"/>
        <v>0</v>
      </c>
      <c r="E10" s="3">
        <f t="shared" si="0"/>
        <v>2034</v>
      </c>
      <c r="F10" s="3">
        <f t="shared" si="0"/>
        <v>11709085</v>
      </c>
      <c r="G10" s="3">
        <f t="shared" si="0"/>
        <v>27303383</v>
      </c>
      <c r="H10" s="3">
        <f t="shared" si="0"/>
        <v>70860036</v>
      </c>
      <c r="I10" s="3">
        <f t="shared" si="0"/>
        <v>30457</v>
      </c>
      <c r="J10" s="3">
        <f t="shared" si="0"/>
        <v>141669694</v>
      </c>
      <c r="K10" s="3">
        <f t="shared" si="0"/>
        <v>0</v>
      </c>
      <c r="L10" s="3">
        <f t="shared" si="0"/>
        <v>8400029</v>
      </c>
      <c r="M10" s="3">
        <f t="shared" si="0"/>
        <v>0</v>
      </c>
      <c r="N10" s="3">
        <f t="shared" si="0"/>
        <v>5500343</v>
      </c>
      <c r="O10" s="3">
        <f t="shared" si="0"/>
        <v>101909</v>
      </c>
      <c r="P10" s="3">
        <f t="shared" si="0"/>
        <v>7765219</v>
      </c>
      <c r="Q10" s="3">
        <f t="shared" si="0"/>
        <v>2000</v>
      </c>
      <c r="R10" s="3">
        <f t="shared" si="0"/>
        <v>223548</v>
      </c>
      <c r="S10" s="3">
        <f t="shared" si="0"/>
        <v>7583</v>
      </c>
      <c r="T10" s="3">
        <f t="shared" si="0"/>
        <v>0</v>
      </c>
      <c r="U10" s="3">
        <f t="shared" si="0"/>
        <v>1877231</v>
      </c>
      <c r="V10" s="3">
        <f t="shared" si="0"/>
        <v>398764</v>
      </c>
      <c r="W10" s="3">
        <f t="shared" si="0"/>
        <v>8772</v>
      </c>
      <c r="X10" s="3">
        <f>SUM(X11:X25)</f>
        <v>63355</v>
      </c>
      <c r="Y10" s="3">
        <f t="shared" si="0"/>
        <v>1548459</v>
      </c>
      <c r="Z10" s="3">
        <f t="shared" si="0"/>
        <v>29849</v>
      </c>
      <c r="AA10" s="3">
        <f t="shared" si="0"/>
        <v>25927061</v>
      </c>
      <c r="AB10" s="5">
        <f t="shared" si="0"/>
        <v>167596755</v>
      </c>
    </row>
    <row r="11" spans="1:28" ht="30" customHeight="1">
      <c r="A11" s="10" t="s">
        <v>60</v>
      </c>
      <c r="B11" s="3"/>
      <c r="C11" s="3"/>
      <c r="D11" s="3"/>
      <c r="E11" s="3"/>
      <c r="F11" s="3"/>
      <c r="G11" s="3"/>
      <c r="H11" s="3"/>
      <c r="I11" s="3"/>
      <c r="J11" s="3">
        <f aca="true" t="shared" si="1" ref="J11:J25">SUM(B11:I11)</f>
        <v>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>
        <f>SUM(K11:Z11)</f>
        <v>0</v>
      </c>
      <c r="AB11" s="4">
        <f aca="true" t="shared" si="2" ref="AB11:AB25">SUM(J11,AA11)</f>
        <v>0</v>
      </c>
    </row>
    <row r="12" spans="1:28" ht="30" customHeight="1">
      <c r="A12" s="12" t="s">
        <v>132</v>
      </c>
      <c r="B12" s="3"/>
      <c r="C12" s="3"/>
      <c r="D12" s="3"/>
      <c r="E12" s="3"/>
      <c r="F12" s="3"/>
      <c r="G12" s="3"/>
      <c r="H12" s="3"/>
      <c r="I12" s="3"/>
      <c r="J12" s="3">
        <f t="shared" si="1"/>
        <v>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aca="true" t="shared" si="3" ref="AA12:AA25">SUM(K12:Z12)</f>
        <v>0</v>
      </c>
      <c r="AB12" s="4">
        <f t="shared" si="2"/>
        <v>0</v>
      </c>
    </row>
    <row r="13" spans="1:28" ht="30" customHeight="1">
      <c r="A13" s="10" t="s">
        <v>62</v>
      </c>
      <c r="B13" s="3"/>
      <c r="C13" s="3"/>
      <c r="D13" s="3"/>
      <c r="E13" s="3"/>
      <c r="F13" s="3"/>
      <c r="G13" s="3"/>
      <c r="H13" s="3"/>
      <c r="I13" s="3"/>
      <c r="J13" s="3">
        <f t="shared" si="1"/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 t="shared" si="3"/>
        <v>0</v>
      </c>
      <c r="AB13" s="4">
        <f t="shared" si="2"/>
        <v>0</v>
      </c>
    </row>
    <row r="14" spans="1:28" ht="30" customHeight="1">
      <c r="A14" s="10" t="s">
        <v>63</v>
      </c>
      <c r="B14" s="93">
        <f>15504935-969</f>
        <v>15503966</v>
      </c>
      <c r="C14" s="93">
        <f>4364545-8467</f>
        <v>4356078</v>
      </c>
      <c r="D14" s="3"/>
      <c r="E14" s="3"/>
      <c r="F14" s="93">
        <f>11723291-14259</f>
        <v>11709032</v>
      </c>
      <c r="G14" s="93">
        <f>20887429-28183</f>
        <v>20859246</v>
      </c>
      <c r="H14" s="93">
        <f>69587252-47402</f>
        <v>69539850</v>
      </c>
      <c r="I14" s="3">
        <v>30312</v>
      </c>
      <c r="J14" s="3">
        <f t="shared" si="1"/>
        <v>121998484</v>
      </c>
      <c r="K14" s="3"/>
      <c r="L14" s="3">
        <v>8263064</v>
      </c>
      <c r="M14" s="3"/>
      <c r="N14" s="93">
        <f>5502476-2133</f>
        <v>5500343</v>
      </c>
      <c r="O14" s="3">
        <v>101909</v>
      </c>
      <c r="P14" s="93">
        <f>7254700-60418</f>
        <v>7194282</v>
      </c>
      <c r="Q14" s="3">
        <v>2000</v>
      </c>
      <c r="R14" s="3">
        <v>223548</v>
      </c>
      <c r="S14" s="3">
        <v>132</v>
      </c>
      <c r="T14" s="3"/>
      <c r="U14" s="93">
        <f>1602794-41002</f>
        <v>1561792</v>
      </c>
      <c r="V14" s="3">
        <v>396679</v>
      </c>
      <c r="W14" s="3">
        <v>7554</v>
      </c>
      <c r="X14" s="3">
        <v>53916</v>
      </c>
      <c r="Y14" s="93">
        <f>1114998-2205+1</f>
        <v>1112794</v>
      </c>
      <c r="Z14" s="3">
        <v>29849</v>
      </c>
      <c r="AA14" s="3">
        <f t="shared" si="3"/>
        <v>24447862</v>
      </c>
      <c r="AB14" s="4">
        <f t="shared" si="2"/>
        <v>146446346</v>
      </c>
    </row>
    <row r="15" spans="1:28" ht="30" customHeight="1">
      <c r="A15" s="10" t="s">
        <v>64</v>
      </c>
      <c r="B15" s="3">
        <v>55143</v>
      </c>
      <c r="C15" s="3">
        <v>63106</v>
      </c>
      <c r="D15" s="3"/>
      <c r="E15" s="3">
        <v>1209</v>
      </c>
      <c r="F15" s="3"/>
      <c r="G15" s="3">
        <v>2612</v>
      </c>
      <c r="H15" s="3"/>
      <c r="I15" s="3"/>
      <c r="J15" s="3">
        <f t="shared" si="1"/>
        <v>122070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v>1173</v>
      </c>
      <c r="V15" s="3"/>
      <c r="W15" s="3"/>
      <c r="X15" s="3">
        <v>1263</v>
      </c>
      <c r="Y15" s="3">
        <v>28843</v>
      </c>
      <c r="Z15" s="3"/>
      <c r="AA15" s="3">
        <f t="shared" si="3"/>
        <v>31279</v>
      </c>
      <c r="AB15" s="4">
        <f t="shared" si="2"/>
        <v>153349</v>
      </c>
    </row>
    <row r="16" spans="1:28" ht="30" customHeight="1">
      <c r="A16" s="10" t="s">
        <v>65</v>
      </c>
      <c r="B16" s="93">
        <f>10219175-13</f>
        <v>10219162</v>
      </c>
      <c r="C16" s="3"/>
      <c r="D16" s="3"/>
      <c r="E16" s="3"/>
      <c r="F16" s="3"/>
      <c r="G16" s="3">
        <v>5763873</v>
      </c>
      <c r="H16" s="3"/>
      <c r="I16" s="3"/>
      <c r="J16" s="3">
        <f t="shared" si="1"/>
        <v>15983035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>
        <f t="shared" si="3"/>
        <v>0</v>
      </c>
      <c r="AB16" s="4">
        <f t="shared" si="2"/>
        <v>15983035</v>
      </c>
    </row>
    <row r="17" spans="1:28" ht="30" customHeight="1">
      <c r="A17" s="10" t="s">
        <v>66</v>
      </c>
      <c r="B17" s="3"/>
      <c r="C17" s="3"/>
      <c r="D17" s="3"/>
      <c r="E17" s="3"/>
      <c r="F17" s="3"/>
      <c r="G17" s="3"/>
      <c r="H17" s="3"/>
      <c r="I17" s="3"/>
      <c r="J17" s="3">
        <f t="shared" si="1"/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>
        <f t="shared" si="3"/>
        <v>0</v>
      </c>
      <c r="AB17" s="4">
        <f t="shared" si="2"/>
        <v>0</v>
      </c>
    </row>
    <row r="18" spans="1:28" ht="30" customHeight="1">
      <c r="A18" s="12" t="s">
        <v>67</v>
      </c>
      <c r="B18" s="3">
        <v>750142</v>
      </c>
      <c r="C18" s="93">
        <f>569971-140</f>
        <v>569831</v>
      </c>
      <c r="D18" s="3"/>
      <c r="E18" s="3">
        <v>825</v>
      </c>
      <c r="F18" s="3">
        <v>53</v>
      </c>
      <c r="G18" s="3">
        <v>677652</v>
      </c>
      <c r="H18" s="93">
        <f>1320849-663</f>
        <v>1320186</v>
      </c>
      <c r="I18" s="3">
        <v>145</v>
      </c>
      <c r="J18" s="3">
        <f t="shared" si="1"/>
        <v>3318834</v>
      </c>
      <c r="K18" s="3"/>
      <c r="L18" s="3">
        <v>136965</v>
      </c>
      <c r="M18" s="3"/>
      <c r="N18" s="3"/>
      <c r="O18" s="3"/>
      <c r="P18" s="93">
        <f>592357-21420</f>
        <v>570937</v>
      </c>
      <c r="Q18" s="3"/>
      <c r="R18" s="3"/>
      <c r="S18" s="3">
        <v>7451</v>
      </c>
      <c r="T18" s="3"/>
      <c r="U18" s="3">
        <v>314266</v>
      </c>
      <c r="V18" s="3">
        <v>2085</v>
      </c>
      <c r="W18" s="3">
        <v>1218</v>
      </c>
      <c r="X18" s="3">
        <v>8176</v>
      </c>
      <c r="Y18" s="93">
        <f>409863-3042+1</f>
        <v>406822</v>
      </c>
      <c r="Z18" s="3"/>
      <c r="AA18" s="3">
        <f t="shared" si="3"/>
        <v>1447920</v>
      </c>
      <c r="AB18" s="4">
        <f t="shared" si="2"/>
        <v>4766754</v>
      </c>
    </row>
    <row r="19" spans="1:28" ht="30" customHeight="1">
      <c r="A19" s="12" t="s">
        <v>68</v>
      </c>
      <c r="B19" s="3"/>
      <c r="C19" s="3"/>
      <c r="D19" s="3"/>
      <c r="E19" s="3"/>
      <c r="F19" s="3"/>
      <c r="G19" s="3"/>
      <c r="H19" s="3"/>
      <c r="I19" s="3"/>
      <c r="J19" s="3">
        <f t="shared" si="1"/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3"/>
        <v>0</v>
      </c>
      <c r="AB19" s="4">
        <f t="shared" si="2"/>
        <v>0</v>
      </c>
    </row>
    <row r="20" spans="1:28" ht="30" customHeight="1">
      <c r="A20" s="10" t="s">
        <v>69</v>
      </c>
      <c r="B20" s="3"/>
      <c r="C20" s="3"/>
      <c r="D20" s="3"/>
      <c r="E20" s="3"/>
      <c r="F20" s="3"/>
      <c r="G20" s="3"/>
      <c r="H20" s="3"/>
      <c r="I20" s="3"/>
      <c r="J20" s="3">
        <f t="shared" si="1"/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3"/>
        <v>0</v>
      </c>
      <c r="AB20" s="4">
        <f t="shared" si="2"/>
        <v>0</v>
      </c>
    </row>
    <row r="21" spans="1:28" ht="30" customHeight="1">
      <c r="A21" s="12" t="s">
        <v>70</v>
      </c>
      <c r="B21" s="3"/>
      <c r="C21" s="3"/>
      <c r="D21" s="3"/>
      <c r="E21" s="3"/>
      <c r="F21" s="3"/>
      <c r="G21" s="3"/>
      <c r="H21" s="3"/>
      <c r="I21" s="3"/>
      <c r="J21" s="3">
        <f t="shared" si="1"/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3"/>
        <v>0</v>
      </c>
      <c r="AB21" s="4">
        <f t="shared" si="2"/>
        <v>0</v>
      </c>
    </row>
    <row r="22" spans="1:28" ht="30" customHeight="1">
      <c r="A22" s="10" t="s">
        <v>71</v>
      </c>
      <c r="B22" s="3"/>
      <c r="C22" s="3"/>
      <c r="D22" s="3"/>
      <c r="E22" s="3"/>
      <c r="F22" s="3"/>
      <c r="G22" s="3"/>
      <c r="H22" s="3"/>
      <c r="I22" s="3"/>
      <c r="J22" s="3">
        <f t="shared" si="1"/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>
        <f t="shared" si="3"/>
        <v>0</v>
      </c>
      <c r="AB22" s="4">
        <f t="shared" si="2"/>
        <v>0</v>
      </c>
    </row>
    <row r="23" spans="1:28" ht="30" customHeight="1">
      <c r="A23" s="10" t="s">
        <v>72</v>
      </c>
      <c r="B23" s="3"/>
      <c r="C23" s="3"/>
      <c r="D23" s="3"/>
      <c r="E23" s="3"/>
      <c r="F23" s="3"/>
      <c r="G23" s="3"/>
      <c r="H23" s="3"/>
      <c r="I23" s="3"/>
      <c r="J23" s="3">
        <f t="shared" si="1"/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>
        <f t="shared" si="3"/>
        <v>0</v>
      </c>
      <c r="AB23" s="4">
        <f t="shared" si="2"/>
        <v>0</v>
      </c>
    </row>
    <row r="24" spans="1:28" ht="30" customHeight="1">
      <c r="A24" s="84" t="s">
        <v>185</v>
      </c>
      <c r="B24" s="3"/>
      <c r="C24" s="3"/>
      <c r="D24" s="3"/>
      <c r="E24" s="3"/>
      <c r="F24" s="3"/>
      <c r="G24" s="3"/>
      <c r="H24" s="3"/>
      <c r="I24" s="3"/>
      <c r="J24" s="3">
        <f>SUM(B24:I24)</f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>
        <f>SUM(K24:Z24)</f>
        <v>0</v>
      </c>
      <c r="AB24" s="4">
        <f t="shared" si="2"/>
        <v>0</v>
      </c>
    </row>
    <row r="25" spans="1:28" ht="30" customHeight="1">
      <c r="A25" s="12" t="s">
        <v>99</v>
      </c>
      <c r="B25" s="3">
        <v>247271</v>
      </c>
      <c r="C25" s="3"/>
      <c r="D25" s="3"/>
      <c r="E25" s="3"/>
      <c r="F25" s="3"/>
      <c r="G25" s="3"/>
      <c r="H25" s="3"/>
      <c r="I25" s="3"/>
      <c r="J25" s="3">
        <f t="shared" si="1"/>
        <v>247271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>
        <f t="shared" si="3"/>
        <v>0</v>
      </c>
      <c r="AB25" s="4">
        <f t="shared" si="2"/>
        <v>247271</v>
      </c>
    </row>
    <row r="26" spans="1:27" ht="48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8" ht="30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85"/>
    </row>
  </sheetData>
  <mergeCells count="1">
    <mergeCell ref="X6:X9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27"/>
  <sheetViews>
    <sheetView zoomScale="75" zoomScaleNormal="75" workbookViewId="0" topLeftCell="A7">
      <pane xSplit="1" ySplit="4" topLeftCell="B11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ColWidth="9.00390625" defaultRowHeight="15.75"/>
  <cols>
    <col min="1" max="1" width="27.375" style="83" customWidth="1"/>
    <col min="2" max="2" width="10.125" style="83" customWidth="1"/>
    <col min="3" max="3" width="10.00390625" style="83" customWidth="1"/>
    <col min="4" max="4" width="8.75390625" style="83" customWidth="1"/>
    <col min="5" max="6" width="9.00390625" style="83" customWidth="1"/>
    <col min="7" max="7" width="11.00390625" style="83" customWidth="1"/>
    <col min="8" max="8" width="11.50390625" style="83" customWidth="1"/>
    <col min="9" max="9" width="9.00390625" style="83" customWidth="1"/>
    <col min="10" max="10" width="11.50390625" style="83" customWidth="1"/>
    <col min="11" max="12" width="9.875" style="83" customWidth="1"/>
    <col min="13" max="13" width="10.125" style="83" customWidth="1"/>
    <col min="14" max="14" width="11.00390625" style="83" customWidth="1"/>
    <col min="15" max="15" width="11.875" style="83" customWidth="1"/>
    <col min="16" max="16" width="10.625" style="83" customWidth="1"/>
    <col min="17" max="17" width="11.25390625" style="83" customWidth="1"/>
    <col min="18" max="18" width="11.50390625" style="83" customWidth="1"/>
    <col min="19" max="20" width="9.00390625" style="83" customWidth="1"/>
    <col min="21" max="21" width="9.375" style="83" bestFit="1" customWidth="1"/>
    <col min="22" max="26" width="9.00390625" style="83" customWidth="1"/>
    <col min="27" max="27" width="10.375" style="83" customWidth="1"/>
    <col min="28" max="28" width="12.25390625" style="83" customWidth="1"/>
    <col min="29" max="16384" width="9.00390625" style="83" customWidth="1"/>
  </cols>
  <sheetData>
    <row r="1" spans="1:20" s="68" customFormat="1" ht="21">
      <c r="A1" s="67"/>
      <c r="B1" s="83"/>
      <c r="C1" s="83"/>
      <c r="D1" s="83"/>
      <c r="E1" s="2"/>
      <c r="F1" s="15" t="s">
        <v>95</v>
      </c>
      <c r="G1" s="16" t="s">
        <v>96</v>
      </c>
      <c r="S1" s="15" t="s">
        <v>95</v>
      </c>
      <c r="T1" s="16" t="s">
        <v>96</v>
      </c>
    </row>
    <row r="2" spans="4:20" s="68" customFormat="1" ht="27.75">
      <c r="D2" s="1"/>
      <c r="E2" s="1"/>
      <c r="F2" s="17" t="s">
        <v>97</v>
      </c>
      <c r="G2" s="18" t="s">
        <v>98</v>
      </c>
      <c r="S2" s="17" t="s">
        <v>97</v>
      </c>
      <c r="T2" s="18" t="s">
        <v>98</v>
      </c>
    </row>
    <row r="3" spans="6:28" s="68" customFormat="1" ht="16.5">
      <c r="F3" s="19" t="s">
        <v>126</v>
      </c>
      <c r="G3" s="35" t="s">
        <v>127</v>
      </c>
      <c r="M3" s="20" t="s">
        <v>0</v>
      </c>
      <c r="S3" s="19" t="s">
        <v>126</v>
      </c>
      <c r="T3" s="35" t="s">
        <v>127</v>
      </c>
      <c r="AB3" s="20" t="s">
        <v>0</v>
      </c>
    </row>
    <row r="4" spans="1:28" s="68" customFormat="1" ht="30" customHeight="1">
      <c r="A4" s="21" t="s">
        <v>128</v>
      </c>
      <c r="B4" s="22" t="s">
        <v>186</v>
      </c>
      <c r="C4" s="69"/>
      <c r="D4" s="69"/>
      <c r="E4" s="69"/>
      <c r="F4" s="69"/>
      <c r="G4" s="69"/>
      <c r="H4" s="69"/>
      <c r="I4" s="69"/>
      <c r="J4" s="70"/>
      <c r="K4" s="23" t="s">
        <v>187</v>
      </c>
      <c r="L4" s="71"/>
      <c r="M4" s="71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3"/>
      <c r="AB4" s="74"/>
    </row>
    <row r="5" spans="1:28" s="78" customFormat="1" ht="25.5" customHeight="1">
      <c r="A5" s="24" t="s">
        <v>129</v>
      </c>
      <c r="B5" s="25" t="s">
        <v>4</v>
      </c>
      <c r="C5" s="25" t="s">
        <v>5</v>
      </c>
      <c r="D5" s="25" t="s">
        <v>6</v>
      </c>
      <c r="E5" s="25" t="s">
        <v>7</v>
      </c>
      <c r="F5" s="26" t="s">
        <v>188</v>
      </c>
      <c r="G5" s="75"/>
      <c r="H5" s="75"/>
      <c r="I5" s="76"/>
      <c r="J5" s="44" t="s">
        <v>112</v>
      </c>
      <c r="K5" s="26" t="s">
        <v>189</v>
      </c>
      <c r="L5" s="75"/>
      <c r="M5" s="76"/>
      <c r="N5" s="26" t="s">
        <v>190</v>
      </c>
      <c r="O5" s="75"/>
      <c r="P5" s="75"/>
      <c r="Q5" s="76"/>
      <c r="R5" s="25" t="s">
        <v>11</v>
      </c>
      <c r="S5" s="25" t="s">
        <v>12</v>
      </c>
      <c r="T5" s="26" t="s">
        <v>191</v>
      </c>
      <c r="U5" s="75"/>
      <c r="V5" s="75"/>
      <c r="W5" s="75"/>
      <c r="X5" s="75"/>
      <c r="Y5" s="75"/>
      <c r="Z5" s="77"/>
      <c r="AA5" s="25" t="s">
        <v>13</v>
      </c>
      <c r="AB5" s="27" t="s">
        <v>14</v>
      </c>
    </row>
    <row r="6" spans="1:28" s="68" customFormat="1" ht="16.5">
      <c r="A6" s="79"/>
      <c r="B6" s="80"/>
      <c r="C6" s="28" t="s">
        <v>15</v>
      </c>
      <c r="D6" s="28" t="s">
        <v>16</v>
      </c>
      <c r="E6" s="28" t="s">
        <v>192</v>
      </c>
      <c r="F6" s="80"/>
      <c r="G6" s="80"/>
      <c r="H6" s="80"/>
      <c r="I6" s="80"/>
      <c r="J6" s="28" t="s">
        <v>193</v>
      </c>
      <c r="K6" s="80"/>
      <c r="L6" s="43" t="s">
        <v>194</v>
      </c>
      <c r="M6" s="43" t="s">
        <v>195</v>
      </c>
      <c r="N6" s="80" t="s">
        <v>17</v>
      </c>
      <c r="O6" s="80"/>
      <c r="P6" s="80"/>
      <c r="Q6" s="80"/>
      <c r="R6" s="28" t="s">
        <v>18</v>
      </c>
      <c r="S6" s="28" t="s">
        <v>196</v>
      </c>
      <c r="T6" s="80" t="s">
        <v>17</v>
      </c>
      <c r="U6" s="80" t="s">
        <v>17</v>
      </c>
      <c r="V6" s="80"/>
      <c r="W6" s="80"/>
      <c r="X6" s="107" t="s">
        <v>183</v>
      </c>
      <c r="Y6" s="80"/>
      <c r="Z6" s="80"/>
      <c r="AA6" s="28" t="s">
        <v>197</v>
      </c>
      <c r="AB6" s="81"/>
    </row>
    <row r="7" spans="1:28" s="68" customFormat="1" ht="16.5">
      <c r="A7" s="79"/>
      <c r="B7" s="28" t="s">
        <v>19</v>
      </c>
      <c r="C7" s="28" t="s">
        <v>198</v>
      </c>
      <c r="D7" s="80"/>
      <c r="E7" s="80" t="s">
        <v>17</v>
      </c>
      <c r="F7" s="28" t="s">
        <v>20</v>
      </c>
      <c r="G7" s="28" t="s">
        <v>21</v>
      </c>
      <c r="H7" s="28" t="s">
        <v>20</v>
      </c>
      <c r="I7" s="28" t="s">
        <v>20</v>
      </c>
      <c r="J7" s="80"/>
      <c r="K7" s="28" t="s">
        <v>22</v>
      </c>
      <c r="L7" s="28" t="s">
        <v>199</v>
      </c>
      <c r="M7" s="28" t="s">
        <v>23</v>
      </c>
      <c r="N7" s="28" t="s">
        <v>20</v>
      </c>
      <c r="O7" s="28" t="s">
        <v>21</v>
      </c>
      <c r="P7" s="28" t="s">
        <v>20</v>
      </c>
      <c r="Q7" s="28" t="s">
        <v>20</v>
      </c>
      <c r="R7" s="80"/>
      <c r="S7" s="80"/>
      <c r="T7" s="28" t="s">
        <v>24</v>
      </c>
      <c r="U7" s="28" t="s">
        <v>25</v>
      </c>
      <c r="V7" s="28" t="s">
        <v>26</v>
      </c>
      <c r="W7" s="28" t="s">
        <v>27</v>
      </c>
      <c r="X7" s="108"/>
      <c r="Y7" s="28" t="s">
        <v>28</v>
      </c>
      <c r="Z7" s="28" t="s">
        <v>29</v>
      </c>
      <c r="AA7" s="80"/>
      <c r="AB7" s="81"/>
    </row>
    <row r="8" spans="1:28" s="68" customFormat="1" ht="16.5">
      <c r="A8" s="29" t="s">
        <v>130</v>
      </c>
      <c r="B8" s="80"/>
      <c r="C8" s="28" t="s">
        <v>31</v>
      </c>
      <c r="D8" s="28" t="s">
        <v>32</v>
      </c>
      <c r="E8" s="28" t="s">
        <v>200</v>
      </c>
      <c r="F8" s="28" t="s">
        <v>33</v>
      </c>
      <c r="G8" s="28" t="s">
        <v>34</v>
      </c>
      <c r="H8" s="28" t="s">
        <v>35</v>
      </c>
      <c r="I8" s="28" t="s">
        <v>36</v>
      </c>
      <c r="J8" s="28" t="s">
        <v>201</v>
      </c>
      <c r="K8" s="80"/>
      <c r="L8" s="28" t="s">
        <v>202</v>
      </c>
      <c r="M8" s="80"/>
      <c r="N8" s="28" t="s">
        <v>33</v>
      </c>
      <c r="O8" s="28" t="s">
        <v>34</v>
      </c>
      <c r="P8" s="28" t="s">
        <v>35</v>
      </c>
      <c r="Q8" s="28" t="s">
        <v>36</v>
      </c>
      <c r="R8" s="28" t="s">
        <v>37</v>
      </c>
      <c r="S8" s="28" t="s">
        <v>203</v>
      </c>
      <c r="T8" s="80"/>
      <c r="U8" s="28" t="s">
        <v>24</v>
      </c>
      <c r="V8" s="80"/>
      <c r="W8" s="80"/>
      <c r="X8" s="108"/>
      <c r="Y8" s="28" t="s">
        <v>38</v>
      </c>
      <c r="Z8" s="80"/>
      <c r="AA8" s="28" t="s">
        <v>201</v>
      </c>
      <c r="AB8" s="30" t="s">
        <v>39</v>
      </c>
    </row>
    <row r="9" spans="1:28" s="68" customFormat="1" ht="16.5">
      <c r="A9" s="31" t="s">
        <v>129</v>
      </c>
      <c r="B9" s="32" t="s">
        <v>40</v>
      </c>
      <c r="C9" s="32" t="s">
        <v>41</v>
      </c>
      <c r="D9" s="32" t="s">
        <v>42</v>
      </c>
      <c r="E9" s="32" t="s">
        <v>43</v>
      </c>
      <c r="F9" s="32" t="s">
        <v>44</v>
      </c>
      <c r="G9" s="32" t="s">
        <v>45</v>
      </c>
      <c r="H9" s="32" t="s">
        <v>46</v>
      </c>
      <c r="I9" s="32" t="s">
        <v>47</v>
      </c>
      <c r="J9" s="32" t="s">
        <v>48</v>
      </c>
      <c r="K9" s="32" t="s">
        <v>49</v>
      </c>
      <c r="L9" s="32" t="s">
        <v>204</v>
      </c>
      <c r="M9" s="32" t="s">
        <v>51</v>
      </c>
      <c r="N9" s="32" t="s">
        <v>44</v>
      </c>
      <c r="O9" s="32" t="s">
        <v>205</v>
      </c>
      <c r="P9" s="32" t="s">
        <v>46</v>
      </c>
      <c r="Q9" s="32" t="s">
        <v>47</v>
      </c>
      <c r="R9" s="32" t="s">
        <v>52</v>
      </c>
      <c r="S9" s="32" t="s">
        <v>53</v>
      </c>
      <c r="T9" s="32" t="s">
        <v>54</v>
      </c>
      <c r="U9" s="32" t="s">
        <v>54</v>
      </c>
      <c r="V9" s="32" t="s">
        <v>55</v>
      </c>
      <c r="W9" s="32" t="s">
        <v>56</v>
      </c>
      <c r="X9" s="109"/>
      <c r="Y9" s="32" t="s">
        <v>57</v>
      </c>
      <c r="Z9" s="32" t="s">
        <v>58</v>
      </c>
      <c r="AA9" s="32" t="s">
        <v>48</v>
      </c>
      <c r="AB9" s="82"/>
    </row>
    <row r="10" spans="1:28" ht="30" customHeight="1">
      <c r="A10" s="79" t="s">
        <v>131</v>
      </c>
      <c r="B10" s="3">
        <f aca="true" t="shared" si="0" ref="B10:AB10">SUM(B11:B25)</f>
        <v>21434010</v>
      </c>
      <c r="C10" s="3">
        <f t="shared" si="0"/>
        <v>5095778</v>
      </c>
      <c r="D10" s="3">
        <f t="shared" si="0"/>
        <v>0</v>
      </c>
      <c r="E10" s="3">
        <f t="shared" si="0"/>
        <v>949</v>
      </c>
      <c r="F10" s="3">
        <f t="shared" si="0"/>
        <v>0</v>
      </c>
      <c r="G10" s="3">
        <f t="shared" si="0"/>
        <v>227420</v>
      </c>
      <c r="H10" s="3">
        <f t="shared" si="0"/>
        <v>54342</v>
      </c>
      <c r="I10" s="3">
        <f t="shared" si="0"/>
        <v>1615</v>
      </c>
      <c r="J10" s="3">
        <f t="shared" si="0"/>
        <v>26814114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3">
        <f t="shared" si="0"/>
        <v>0</v>
      </c>
      <c r="Q10" s="3">
        <f t="shared" si="0"/>
        <v>0</v>
      </c>
      <c r="R10" s="3">
        <f t="shared" si="0"/>
        <v>7016</v>
      </c>
      <c r="S10" s="3">
        <f t="shared" si="0"/>
        <v>0</v>
      </c>
      <c r="T10" s="3">
        <f t="shared" si="0"/>
        <v>0</v>
      </c>
      <c r="U10" s="3">
        <f t="shared" si="0"/>
        <v>382673</v>
      </c>
      <c r="V10" s="3">
        <f t="shared" si="0"/>
        <v>0</v>
      </c>
      <c r="W10" s="3">
        <f t="shared" si="0"/>
        <v>72504</v>
      </c>
      <c r="X10" s="3">
        <f>SUM(X11:X25)</f>
        <v>203229</v>
      </c>
      <c r="Y10" s="3">
        <f t="shared" si="0"/>
        <v>544835</v>
      </c>
      <c r="Z10" s="3">
        <f t="shared" si="0"/>
        <v>0</v>
      </c>
      <c r="AA10" s="3">
        <f t="shared" si="0"/>
        <v>1210257</v>
      </c>
      <c r="AB10" s="5">
        <f t="shared" si="0"/>
        <v>28024371</v>
      </c>
    </row>
    <row r="11" spans="1:28" ht="30" customHeight="1">
      <c r="A11" s="10" t="s">
        <v>60</v>
      </c>
      <c r="B11" s="3"/>
      <c r="C11" s="3"/>
      <c r="D11" s="3"/>
      <c r="E11" s="3"/>
      <c r="F11" s="3"/>
      <c r="G11" s="3"/>
      <c r="H11" s="3"/>
      <c r="I11" s="3"/>
      <c r="J11" s="3">
        <f aca="true" t="shared" si="1" ref="J11:J25">SUM(B11:I11)</f>
        <v>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>
        <f>SUM(K11:Z11)</f>
        <v>0</v>
      </c>
      <c r="AB11" s="4">
        <f aca="true" t="shared" si="2" ref="AB11:AB25">SUM(J11,AA11)</f>
        <v>0</v>
      </c>
    </row>
    <row r="12" spans="1:28" ht="30" customHeight="1">
      <c r="A12" s="12" t="s">
        <v>132</v>
      </c>
      <c r="B12" s="3"/>
      <c r="C12" s="3"/>
      <c r="D12" s="3"/>
      <c r="E12" s="3"/>
      <c r="F12" s="3"/>
      <c r="G12" s="3"/>
      <c r="H12" s="3"/>
      <c r="I12" s="3"/>
      <c r="J12" s="3">
        <f t="shared" si="1"/>
        <v>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aca="true" t="shared" si="3" ref="AA12:AA25">SUM(K12:Z12)</f>
        <v>0</v>
      </c>
      <c r="AB12" s="4">
        <f t="shared" si="2"/>
        <v>0</v>
      </c>
    </row>
    <row r="13" spans="1:28" ht="30" customHeight="1">
      <c r="A13" s="10" t="s">
        <v>62</v>
      </c>
      <c r="B13" s="3">
        <v>19986149</v>
      </c>
      <c r="C13" s="3">
        <v>5095778</v>
      </c>
      <c r="D13" s="3"/>
      <c r="E13" s="3">
        <v>949</v>
      </c>
      <c r="F13" s="3"/>
      <c r="G13" s="93">
        <f>157316+1</f>
        <v>157317</v>
      </c>
      <c r="H13" s="3">
        <v>54342</v>
      </c>
      <c r="I13" s="3">
        <v>1615</v>
      </c>
      <c r="J13" s="3">
        <f t="shared" si="1"/>
        <v>25296150</v>
      </c>
      <c r="K13" s="3"/>
      <c r="L13" s="3"/>
      <c r="M13" s="3"/>
      <c r="N13" s="3"/>
      <c r="O13" s="3"/>
      <c r="P13" s="3"/>
      <c r="Q13" s="3"/>
      <c r="R13" s="3">
        <v>7016</v>
      </c>
      <c r="S13" s="3"/>
      <c r="T13" s="3"/>
      <c r="U13" s="3">
        <v>382673</v>
      </c>
      <c r="V13" s="3"/>
      <c r="W13" s="3">
        <v>72504</v>
      </c>
      <c r="X13" s="3">
        <v>203229</v>
      </c>
      <c r="Y13" s="3">
        <v>544835</v>
      </c>
      <c r="Z13" s="3"/>
      <c r="AA13" s="3">
        <f t="shared" si="3"/>
        <v>1210257</v>
      </c>
      <c r="AB13" s="4">
        <f t="shared" si="2"/>
        <v>26506407</v>
      </c>
    </row>
    <row r="14" spans="1:28" ht="30" customHeight="1">
      <c r="A14" s="10" t="s">
        <v>63</v>
      </c>
      <c r="B14" s="3"/>
      <c r="C14" s="3"/>
      <c r="D14" s="3"/>
      <c r="E14" s="3"/>
      <c r="F14" s="3"/>
      <c r="G14" s="3"/>
      <c r="H14" s="3"/>
      <c r="I14" s="3"/>
      <c r="J14" s="3">
        <f t="shared" si="1"/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 t="shared" si="3"/>
        <v>0</v>
      </c>
      <c r="AB14" s="4">
        <f t="shared" si="2"/>
        <v>0</v>
      </c>
    </row>
    <row r="15" spans="1:28" ht="30" customHeight="1">
      <c r="A15" s="10" t="s">
        <v>64</v>
      </c>
      <c r="B15" s="3"/>
      <c r="C15" s="3"/>
      <c r="D15" s="3"/>
      <c r="E15" s="3"/>
      <c r="F15" s="3"/>
      <c r="G15" s="3"/>
      <c r="H15" s="3"/>
      <c r="I15" s="3"/>
      <c r="J15" s="3">
        <f t="shared" si="1"/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>
        <f t="shared" si="3"/>
        <v>0</v>
      </c>
      <c r="AB15" s="4">
        <f t="shared" si="2"/>
        <v>0</v>
      </c>
    </row>
    <row r="16" spans="1:28" ht="30" customHeight="1">
      <c r="A16" s="10" t="s">
        <v>65</v>
      </c>
      <c r="B16" s="3">
        <v>1146078</v>
      </c>
      <c r="C16" s="3"/>
      <c r="D16" s="3"/>
      <c r="E16" s="3"/>
      <c r="F16" s="3"/>
      <c r="G16" s="3">
        <v>3881</v>
      </c>
      <c r="H16" s="3"/>
      <c r="I16" s="3"/>
      <c r="J16" s="3">
        <f t="shared" si="1"/>
        <v>1149959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>
        <f t="shared" si="3"/>
        <v>0</v>
      </c>
      <c r="AB16" s="4">
        <f t="shared" si="2"/>
        <v>1149959</v>
      </c>
    </row>
    <row r="17" spans="1:28" ht="30" customHeight="1">
      <c r="A17" s="10" t="s">
        <v>66</v>
      </c>
      <c r="B17" s="3"/>
      <c r="C17" s="3"/>
      <c r="D17" s="3"/>
      <c r="E17" s="3"/>
      <c r="F17" s="3"/>
      <c r="G17" s="3"/>
      <c r="H17" s="3"/>
      <c r="I17" s="3"/>
      <c r="J17" s="3">
        <f t="shared" si="1"/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>
        <f t="shared" si="3"/>
        <v>0</v>
      </c>
      <c r="AB17" s="4">
        <f t="shared" si="2"/>
        <v>0</v>
      </c>
    </row>
    <row r="18" spans="1:28" ht="30" customHeight="1">
      <c r="A18" s="12" t="s">
        <v>67</v>
      </c>
      <c r="B18" s="3"/>
      <c r="C18" s="3"/>
      <c r="D18" s="3"/>
      <c r="E18" s="3"/>
      <c r="F18" s="3"/>
      <c r="G18" s="3"/>
      <c r="H18" s="3"/>
      <c r="I18" s="3"/>
      <c r="J18" s="3">
        <f t="shared" si="1"/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3"/>
        <v>0</v>
      </c>
      <c r="AB18" s="4">
        <f t="shared" si="2"/>
        <v>0</v>
      </c>
    </row>
    <row r="19" spans="1:28" ht="30" customHeight="1">
      <c r="A19" s="12" t="s">
        <v>68</v>
      </c>
      <c r="B19" s="3"/>
      <c r="C19" s="3"/>
      <c r="D19" s="3"/>
      <c r="E19" s="3"/>
      <c r="F19" s="3"/>
      <c r="G19" s="3"/>
      <c r="H19" s="3"/>
      <c r="I19" s="3"/>
      <c r="J19" s="3">
        <f t="shared" si="1"/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3"/>
        <v>0</v>
      </c>
      <c r="AB19" s="4">
        <f t="shared" si="2"/>
        <v>0</v>
      </c>
    </row>
    <row r="20" spans="1:28" ht="30" customHeight="1">
      <c r="A20" s="10" t="s">
        <v>69</v>
      </c>
      <c r="B20" s="3"/>
      <c r="C20" s="3"/>
      <c r="D20" s="3"/>
      <c r="E20" s="3"/>
      <c r="F20" s="3"/>
      <c r="G20" s="3"/>
      <c r="H20" s="3"/>
      <c r="I20" s="3"/>
      <c r="J20" s="3">
        <f t="shared" si="1"/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3"/>
        <v>0</v>
      </c>
      <c r="AB20" s="4">
        <f t="shared" si="2"/>
        <v>0</v>
      </c>
    </row>
    <row r="21" spans="1:28" ht="30" customHeight="1">
      <c r="A21" s="12" t="s">
        <v>70</v>
      </c>
      <c r="B21" s="3"/>
      <c r="C21" s="3"/>
      <c r="D21" s="3"/>
      <c r="E21" s="3"/>
      <c r="F21" s="3"/>
      <c r="G21" s="3"/>
      <c r="H21" s="3"/>
      <c r="I21" s="3"/>
      <c r="J21" s="3">
        <f t="shared" si="1"/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3"/>
        <v>0</v>
      </c>
      <c r="AB21" s="4">
        <f t="shared" si="2"/>
        <v>0</v>
      </c>
    </row>
    <row r="22" spans="1:28" ht="30" customHeight="1">
      <c r="A22" s="10" t="s">
        <v>71</v>
      </c>
      <c r="B22" s="3"/>
      <c r="C22" s="3"/>
      <c r="D22" s="3"/>
      <c r="E22" s="3"/>
      <c r="F22" s="3"/>
      <c r="G22" s="3"/>
      <c r="H22" s="3"/>
      <c r="I22" s="3"/>
      <c r="J22" s="3">
        <f t="shared" si="1"/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>
        <f t="shared" si="3"/>
        <v>0</v>
      </c>
      <c r="AB22" s="4">
        <f t="shared" si="2"/>
        <v>0</v>
      </c>
    </row>
    <row r="23" spans="1:28" ht="30" customHeight="1">
      <c r="A23" s="10" t="s">
        <v>72</v>
      </c>
      <c r="B23" s="3"/>
      <c r="C23" s="3"/>
      <c r="D23" s="3"/>
      <c r="E23" s="3"/>
      <c r="F23" s="3"/>
      <c r="G23" s="3"/>
      <c r="H23" s="3"/>
      <c r="I23" s="3"/>
      <c r="J23" s="3">
        <f t="shared" si="1"/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>
        <f t="shared" si="3"/>
        <v>0</v>
      </c>
      <c r="AB23" s="4">
        <f t="shared" si="2"/>
        <v>0</v>
      </c>
    </row>
    <row r="24" spans="1:28" ht="30" customHeight="1">
      <c r="A24" s="84" t="s">
        <v>185</v>
      </c>
      <c r="B24" s="3"/>
      <c r="C24" s="3"/>
      <c r="D24" s="3"/>
      <c r="E24" s="3"/>
      <c r="F24" s="3"/>
      <c r="G24" s="3"/>
      <c r="H24" s="3"/>
      <c r="I24" s="3"/>
      <c r="J24" s="3">
        <f>SUM(B24:I24)</f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>
        <f>SUM(K24:Z24)</f>
        <v>0</v>
      </c>
      <c r="AB24" s="4">
        <f t="shared" si="2"/>
        <v>0</v>
      </c>
    </row>
    <row r="25" spans="1:28" ht="30" customHeight="1">
      <c r="A25" s="12" t="s">
        <v>99</v>
      </c>
      <c r="B25" s="3">
        <v>301783</v>
      </c>
      <c r="C25" s="3"/>
      <c r="D25" s="3"/>
      <c r="E25" s="3"/>
      <c r="F25" s="3"/>
      <c r="G25" s="3">
        <v>66222</v>
      </c>
      <c r="H25" s="3"/>
      <c r="I25" s="3"/>
      <c r="J25" s="3">
        <f t="shared" si="1"/>
        <v>368005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>
        <f t="shared" si="3"/>
        <v>0</v>
      </c>
      <c r="AB25" s="4">
        <f t="shared" si="2"/>
        <v>368005</v>
      </c>
    </row>
    <row r="26" spans="1:27" ht="48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8" ht="30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85"/>
    </row>
  </sheetData>
  <mergeCells count="1">
    <mergeCell ref="X6:X9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7"/>
  <sheetViews>
    <sheetView zoomScale="75" zoomScaleNormal="75" workbookViewId="0" topLeftCell="A3">
      <pane xSplit="1" ySplit="8" topLeftCell="B13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ColWidth="9.00390625" defaultRowHeight="15.75"/>
  <cols>
    <col min="1" max="1" width="27.375" style="83" customWidth="1"/>
    <col min="2" max="2" width="10.125" style="83" customWidth="1"/>
    <col min="3" max="3" width="10.00390625" style="83" customWidth="1"/>
    <col min="4" max="4" width="8.75390625" style="83" customWidth="1"/>
    <col min="5" max="5" width="9.00390625" style="83" customWidth="1"/>
    <col min="6" max="6" width="13.125" style="83" bestFit="1" customWidth="1"/>
    <col min="7" max="7" width="11.00390625" style="83" customWidth="1"/>
    <col min="8" max="8" width="11.50390625" style="83" customWidth="1"/>
    <col min="9" max="9" width="9.00390625" style="83" customWidth="1"/>
    <col min="10" max="10" width="11.50390625" style="83" customWidth="1"/>
    <col min="11" max="12" width="9.875" style="83" customWidth="1"/>
    <col min="13" max="13" width="10.125" style="83" customWidth="1"/>
    <col min="14" max="14" width="11.00390625" style="83" customWidth="1"/>
    <col min="15" max="15" width="11.875" style="83" customWidth="1"/>
    <col min="16" max="16" width="10.625" style="83" customWidth="1"/>
    <col min="17" max="17" width="11.25390625" style="83" customWidth="1"/>
    <col min="18" max="18" width="11.50390625" style="83" customWidth="1"/>
    <col min="19" max="20" width="9.00390625" style="83" customWidth="1"/>
    <col min="21" max="21" width="10.25390625" style="83" bestFit="1" customWidth="1"/>
    <col min="22" max="22" width="10.125" style="83" bestFit="1" customWidth="1"/>
    <col min="23" max="23" width="9.00390625" style="83" customWidth="1"/>
    <col min="24" max="24" width="9.375" style="83" customWidth="1"/>
    <col min="25" max="25" width="9.375" style="83" bestFit="1" customWidth="1"/>
    <col min="26" max="26" width="10.125" style="83" bestFit="1" customWidth="1"/>
    <col min="27" max="27" width="10.375" style="83" customWidth="1"/>
    <col min="28" max="28" width="12.25390625" style="83" customWidth="1"/>
    <col min="29" max="16384" width="9.00390625" style="83" customWidth="1"/>
  </cols>
  <sheetData>
    <row r="1" spans="1:20" s="68" customFormat="1" ht="21">
      <c r="A1" s="67"/>
      <c r="B1" s="83"/>
      <c r="C1" s="83"/>
      <c r="D1" s="83"/>
      <c r="E1" s="2"/>
      <c r="F1" s="15" t="s">
        <v>95</v>
      </c>
      <c r="G1" s="16" t="s">
        <v>96</v>
      </c>
      <c r="S1" s="15" t="s">
        <v>95</v>
      </c>
      <c r="T1" s="16" t="s">
        <v>96</v>
      </c>
    </row>
    <row r="2" spans="4:20" s="68" customFormat="1" ht="27.75">
      <c r="D2" s="1"/>
      <c r="E2" s="1"/>
      <c r="F2" s="17" t="s">
        <v>97</v>
      </c>
      <c r="G2" s="18" t="s">
        <v>98</v>
      </c>
      <c r="S2" s="17" t="s">
        <v>97</v>
      </c>
      <c r="T2" s="18" t="s">
        <v>98</v>
      </c>
    </row>
    <row r="3" spans="6:28" s="68" customFormat="1" ht="16.5">
      <c r="F3" s="19" t="s">
        <v>126</v>
      </c>
      <c r="G3" s="35" t="s">
        <v>127</v>
      </c>
      <c r="M3" s="20" t="s">
        <v>0</v>
      </c>
      <c r="S3" s="19" t="s">
        <v>126</v>
      </c>
      <c r="T3" s="35" t="s">
        <v>127</v>
      </c>
      <c r="AB3" s="20" t="s">
        <v>0</v>
      </c>
    </row>
    <row r="4" spans="1:28" s="68" customFormat="1" ht="30" customHeight="1">
      <c r="A4" s="21" t="s">
        <v>128</v>
      </c>
      <c r="B4" s="22" t="s">
        <v>186</v>
      </c>
      <c r="C4" s="69"/>
      <c r="D4" s="69"/>
      <c r="E4" s="69"/>
      <c r="F4" s="69"/>
      <c r="G4" s="69"/>
      <c r="H4" s="69"/>
      <c r="I4" s="69"/>
      <c r="J4" s="70"/>
      <c r="K4" s="23" t="s">
        <v>187</v>
      </c>
      <c r="L4" s="71"/>
      <c r="M4" s="71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3"/>
      <c r="AB4" s="74"/>
    </row>
    <row r="5" spans="1:28" s="78" customFormat="1" ht="25.5" customHeight="1">
      <c r="A5" s="24" t="s">
        <v>129</v>
      </c>
      <c r="B5" s="25" t="s">
        <v>4</v>
      </c>
      <c r="C5" s="25" t="s">
        <v>5</v>
      </c>
      <c r="D5" s="25" t="s">
        <v>6</v>
      </c>
      <c r="E5" s="25" t="s">
        <v>7</v>
      </c>
      <c r="F5" s="26" t="s">
        <v>188</v>
      </c>
      <c r="G5" s="75"/>
      <c r="H5" s="75"/>
      <c r="I5" s="76"/>
      <c r="J5" s="44" t="s">
        <v>112</v>
      </c>
      <c r="K5" s="26" t="s">
        <v>189</v>
      </c>
      <c r="L5" s="75"/>
      <c r="M5" s="76"/>
      <c r="N5" s="26" t="s">
        <v>190</v>
      </c>
      <c r="O5" s="75"/>
      <c r="P5" s="75"/>
      <c r="Q5" s="76"/>
      <c r="R5" s="25" t="s">
        <v>11</v>
      </c>
      <c r="S5" s="25" t="s">
        <v>12</v>
      </c>
      <c r="T5" s="26" t="s">
        <v>191</v>
      </c>
      <c r="U5" s="75"/>
      <c r="V5" s="75"/>
      <c r="W5" s="75"/>
      <c r="X5" s="75"/>
      <c r="Y5" s="75"/>
      <c r="Z5" s="77"/>
      <c r="AA5" s="25" t="s">
        <v>13</v>
      </c>
      <c r="AB5" s="27" t="s">
        <v>14</v>
      </c>
    </row>
    <row r="6" spans="1:28" s="68" customFormat="1" ht="16.5">
      <c r="A6" s="79"/>
      <c r="B6" s="80"/>
      <c r="C6" s="28" t="s">
        <v>15</v>
      </c>
      <c r="D6" s="28" t="s">
        <v>16</v>
      </c>
      <c r="E6" s="28" t="s">
        <v>192</v>
      </c>
      <c r="F6" s="80"/>
      <c r="G6" s="80"/>
      <c r="H6" s="80"/>
      <c r="I6" s="80"/>
      <c r="J6" s="28" t="s">
        <v>193</v>
      </c>
      <c r="K6" s="80"/>
      <c r="L6" s="43" t="s">
        <v>194</v>
      </c>
      <c r="M6" s="43" t="s">
        <v>195</v>
      </c>
      <c r="N6" s="80" t="s">
        <v>17</v>
      </c>
      <c r="O6" s="80"/>
      <c r="P6" s="80"/>
      <c r="Q6" s="80"/>
      <c r="R6" s="28" t="s">
        <v>18</v>
      </c>
      <c r="S6" s="28" t="s">
        <v>196</v>
      </c>
      <c r="T6" s="80" t="s">
        <v>17</v>
      </c>
      <c r="U6" s="80" t="s">
        <v>17</v>
      </c>
      <c r="V6" s="80"/>
      <c r="W6" s="80"/>
      <c r="X6" s="107" t="s">
        <v>183</v>
      </c>
      <c r="Y6" s="80"/>
      <c r="Z6" s="80"/>
      <c r="AA6" s="28" t="s">
        <v>197</v>
      </c>
      <c r="AB6" s="81"/>
    </row>
    <row r="7" spans="1:28" s="68" customFormat="1" ht="16.5">
      <c r="A7" s="79"/>
      <c r="B7" s="28" t="s">
        <v>19</v>
      </c>
      <c r="C7" s="28" t="s">
        <v>198</v>
      </c>
      <c r="D7" s="80"/>
      <c r="E7" s="80" t="s">
        <v>17</v>
      </c>
      <c r="F7" s="28" t="s">
        <v>20</v>
      </c>
      <c r="G7" s="28" t="s">
        <v>21</v>
      </c>
      <c r="H7" s="28" t="s">
        <v>20</v>
      </c>
      <c r="I7" s="28" t="s">
        <v>20</v>
      </c>
      <c r="J7" s="80"/>
      <c r="K7" s="28" t="s">
        <v>22</v>
      </c>
      <c r="L7" s="28" t="s">
        <v>199</v>
      </c>
      <c r="M7" s="28" t="s">
        <v>23</v>
      </c>
      <c r="N7" s="28" t="s">
        <v>20</v>
      </c>
      <c r="O7" s="28" t="s">
        <v>21</v>
      </c>
      <c r="P7" s="28" t="s">
        <v>20</v>
      </c>
      <c r="Q7" s="28" t="s">
        <v>20</v>
      </c>
      <c r="R7" s="80"/>
      <c r="S7" s="80"/>
      <c r="T7" s="28" t="s">
        <v>24</v>
      </c>
      <c r="U7" s="28" t="s">
        <v>25</v>
      </c>
      <c r="V7" s="28" t="s">
        <v>26</v>
      </c>
      <c r="W7" s="28" t="s">
        <v>27</v>
      </c>
      <c r="X7" s="108"/>
      <c r="Y7" s="28" t="s">
        <v>28</v>
      </c>
      <c r="Z7" s="28" t="s">
        <v>29</v>
      </c>
      <c r="AA7" s="80"/>
      <c r="AB7" s="81"/>
    </row>
    <row r="8" spans="1:28" s="68" customFormat="1" ht="16.5">
      <c r="A8" s="29" t="s">
        <v>130</v>
      </c>
      <c r="B8" s="80"/>
      <c r="C8" s="28" t="s">
        <v>31</v>
      </c>
      <c r="D8" s="28" t="s">
        <v>32</v>
      </c>
      <c r="E8" s="28" t="s">
        <v>200</v>
      </c>
      <c r="F8" s="28" t="s">
        <v>33</v>
      </c>
      <c r="G8" s="28" t="s">
        <v>34</v>
      </c>
      <c r="H8" s="28" t="s">
        <v>35</v>
      </c>
      <c r="I8" s="28" t="s">
        <v>36</v>
      </c>
      <c r="J8" s="28" t="s">
        <v>201</v>
      </c>
      <c r="K8" s="80"/>
      <c r="L8" s="28" t="s">
        <v>202</v>
      </c>
      <c r="M8" s="80"/>
      <c r="N8" s="28" t="s">
        <v>33</v>
      </c>
      <c r="O8" s="28" t="s">
        <v>34</v>
      </c>
      <c r="P8" s="28" t="s">
        <v>35</v>
      </c>
      <c r="Q8" s="28" t="s">
        <v>36</v>
      </c>
      <c r="R8" s="28" t="s">
        <v>37</v>
      </c>
      <c r="S8" s="28" t="s">
        <v>203</v>
      </c>
      <c r="T8" s="80"/>
      <c r="U8" s="28" t="s">
        <v>24</v>
      </c>
      <c r="V8" s="80"/>
      <c r="W8" s="80"/>
      <c r="X8" s="108"/>
      <c r="Y8" s="28" t="s">
        <v>38</v>
      </c>
      <c r="Z8" s="80"/>
      <c r="AA8" s="28" t="s">
        <v>201</v>
      </c>
      <c r="AB8" s="30" t="s">
        <v>39</v>
      </c>
    </row>
    <row r="9" spans="1:28" s="68" customFormat="1" ht="16.5">
      <c r="A9" s="31" t="s">
        <v>129</v>
      </c>
      <c r="B9" s="32" t="s">
        <v>40</v>
      </c>
      <c r="C9" s="32" t="s">
        <v>41</v>
      </c>
      <c r="D9" s="32" t="s">
        <v>42</v>
      </c>
      <c r="E9" s="32" t="s">
        <v>43</v>
      </c>
      <c r="F9" s="32" t="s">
        <v>44</v>
      </c>
      <c r="G9" s="32" t="s">
        <v>45</v>
      </c>
      <c r="H9" s="32" t="s">
        <v>46</v>
      </c>
      <c r="I9" s="32" t="s">
        <v>47</v>
      </c>
      <c r="J9" s="32" t="s">
        <v>48</v>
      </c>
      <c r="K9" s="32" t="s">
        <v>49</v>
      </c>
      <c r="L9" s="32" t="s">
        <v>204</v>
      </c>
      <c r="M9" s="32" t="s">
        <v>51</v>
      </c>
      <c r="N9" s="32" t="s">
        <v>44</v>
      </c>
      <c r="O9" s="32" t="s">
        <v>205</v>
      </c>
      <c r="P9" s="32" t="s">
        <v>46</v>
      </c>
      <c r="Q9" s="32" t="s">
        <v>47</v>
      </c>
      <c r="R9" s="32" t="s">
        <v>52</v>
      </c>
      <c r="S9" s="32" t="s">
        <v>53</v>
      </c>
      <c r="T9" s="32" t="s">
        <v>54</v>
      </c>
      <c r="U9" s="32" t="s">
        <v>54</v>
      </c>
      <c r="V9" s="32" t="s">
        <v>55</v>
      </c>
      <c r="W9" s="32" t="s">
        <v>56</v>
      </c>
      <c r="X9" s="109"/>
      <c r="Y9" s="32" t="s">
        <v>57</v>
      </c>
      <c r="Z9" s="32" t="s">
        <v>58</v>
      </c>
      <c r="AA9" s="32" t="s">
        <v>48</v>
      </c>
      <c r="AB9" s="82"/>
    </row>
    <row r="10" spans="1:28" ht="30" customHeight="1">
      <c r="A10" s="79" t="s">
        <v>131</v>
      </c>
      <c r="B10" s="3">
        <f aca="true" t="shared" si="0" ref="B10:AB10">SUM(B11:B25)</f>
        <v>7504357</v>
      </c>
      <c r="C10" s="3">
        <f t="shared" si="0"/>
        <v>11552234</v>
      </c>
      <c r="D10" s="3">
        <f t="shared" si="0"/>
        <v>0</v>
      </c>
      <c r="E10" s="3">
        <f t="shared" si="0"/>
        <v>8659</v>
      </c>
      <c r="F10" s="3">
        <f t="shared" si="0"/>
        <v>5884140</v>
      </c>
      <c r="G10" s="3">
        <f t="shared" si="0"/>
        <v>13289135</v>
      </c>
      <c r="H10" s="3">
        <f t="shared" si="0"/>
        <v>2596792</v>
      </c>
      <c r="I10" s="3">
        <f t="shared" si="0"/>
        <v>22562</v>
      </c>
      <c r="J10" s="3">
        <f t="shared" si="0"/>
        <v>40857879</v>
      </c>
      <c r="K10" s="3">
        <f t="shared" si="0"/>
        <v>452000</v>
      </c>
      <c r="L10" s="3">
        <f t="shared" si="0"/>
        <v>2491900</v>
      </c>
      <c r="M10" s="3">
        <f t="shared" si="0"/>
        <v>0</v>
      </c>
      <c r="N10" s="3">
        <f t="shared" si="0"/>
        <v>400851</v>
      </c>
      <c r="O10" s="3">
        <f t="shared" si="0"/>
        <v>7071706</v>
      </c>
      <c r="P10" s="3">
        <f t="shared" si="0"/>
        <v>1510638</v>
      </c>
      <c r="Q10" s="3">
        <f t="shared" si="0"/>
        <v>0</v>
      </c>
      <c r="R10" s="3">
        <f t="shared" si="0"/>
        <v>3914604</v>
      </c>
      <c r="S10" s="3">
        <f t="shared" si="0"/>
        <v>0</v>
      </c>
      <c r="T10" s="3">
        <f t="shared" si="0"/>
        <v>0</v>
      </c>
      <c r="U10" s="3">
        <f t="shared" si="0"/>
        <v>384003</v>
      </c>
      <c r="V10" s="3">
        <f t="shared" si="0"/>
        <v>4717129</v>
      </c>
      <c r="W10" s="3">
        <f t="shared" si="0"/>
        <v>12499</v>
      </c>
      <c r="X10" s="3">
        <f>SUM(X11:X25)</f>
        <v>286753</v>
      </c>
      <c r="Y10" s="3">
        <f t="shared" si="0"/>
        <v>731166</v>
      </c>
      <c r="Z10" s="3">
        <f t="shared" si="0"/>
        <v>7529702</v>
      </c>
      <c r="AA10" s="3">
        <f t="shared" si="0"/>
        <v>29502951</v>
      </c>
      <c r="AB10" s="5">
        <f t="shared" si="0"/>
        <v>70360830</v>
      </c>
    </row>
    <row r="11" spans="1:28" ht="30" customHeight="1">
      <c r="A11" s="10" t="s">
        <v>60</v>
      </c>
      <c r="B11" s="3"/>
      <c r="C11" s="3"/>
      <c r="D11" s="3"/>
      <c r="E11" s="3"/>
      <c r="F11" s="3"/>
      <c r="G11" s="3"/>
      <c r="H11" s="3"/>
      <c r="I11" s="3"/>
      <c r="J11" s="3">
        <f aca="true" t="shared" si="1" ref="J11:J25">SUM(B11:I11)</f>
        <v>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>
        <f>SUM(K11:Z11)</f>
        <v>0</v>
      </c>
      <c r="AB11" s="4">
        <f aca="true" t="shared" si="2" ref="AB11:AB25">SUM(J11,AA11)</f>
        <v>0</v>
      </c>
    </row>
    <row r="12" spans="1:28" ht="30" customHeight="1">
      <c r="A12" s="12" t="s">
        <v>132</v>
      </c>
      <c r="B12" s="3"/>
      <c r="C12" s="3"/>
      <c r="D12" s="3"/>
      <c r="E12" s="3"/>
      <c r="F12" s="3"/>
      <c r="G12" s="3"/>
      <c r="H12" s="3"/>
      <c r="I12" s="3"/>
      <c r="J12" s="3">
        <f t="shared" si="1"/>
        <v>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aca="true" t="shared" si="3" ref="AA12:AA25">SUM(K12:Z12)</f>
        <v>0</v>
      </c>
      <c r="AB12" s="4">
        <f t="shared" si="2"/>
        <v>0</v>
      </c>
    </row>
    <row r="13" spans="1:28" ht="30" customHeight="1">
      <c r="A13" s="10" t="s">
        <v>62</v>
      </c>
      <c r="B13" s="3"/>
      <c r="C13" s="3"/>
      <c r="D13" s="3"/>
      <c r="E13" s="3"/>
      <c r="F13" s="3"/>
      <c r="G13" s="3"/>
      <c r="H13" s="3"/>
      <c r="I13" s="3"/>
      <c r="J13" s="3">
        <f t="shared" si="1"/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 t="shared" si="3"/>
        <v>0</v>
      </c>
      <c r="AB13" s="4">
        <f t="shared" si="2"/>
        <v>0</v>
      </c>
    </row>
    <row r="14" spans="1:28" ht="30" customHeight="1">
      <c r="A14" s="10" t="s">
        <v>63</v>
      </c>
      <c r="B14" s="3"/>
      <c r="C14" s="3"/>
      <c r="D14" s="3"/>
      <c r="E14" s="3"/>
      <c r="F14" s="3"/>
      <c r="G14" s="3"/>
      <c r="H14" s="3"/>
      <c r="I14" s="3"/>
      <c r="J14" s="3">
        <f t="shared" si="1"/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 t="shared" si="3"/>
        <v>0</v>
      </c>
      <c r="AB14" s="4">
        <f t="shared" si="2"/>
        <v>0</v>
      </c>
    </row>
    <row r="15" spans="1:28" ht="30" customHeight="1">
      <c r="A15" s="10" t="s">
        <v>64</v>
      </c>
      <c r="B15" s="3"/>
      <c r="C15" s="3"/>
      <c r="D15" s="3"/>
      <c r="E15" s="3"/>
      <c r="F15" s="3"/>
      <c r="G15" s="3"/>
      <c r="H15" s="3"/>
      <c r="I15" s="3"/>
      <c r="J15" s="3">
        <f t="shared" si="1"/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>
        <f t="shared" si="3"/>
        <v>0</v>
      </c>
      <c r="AB15" s="4">
        <f t="shared" si="2"/>
        <v>0</v>
      </c>
    </row>
    <row r="16" spans="1:28" ht="30" customHeight="1">
      <c r="A16" s="10" t="s">
        <v>65</v>
      </c>
      <c r="B16" s="3">
        <v>991629</v>
      </c>
      <c r="C16" s="3"/>
      <c r="D16" s="3"/>
      <c r="E16" s="3"/>
      <c r="F16" s="3"/>
      <c r="G16" s="3">
        <v>12189</v>
      </c>
      <c r="H16" s="3"/>
      <c r="I16" s="3"/>
      <c r="J16" s="3">
        <f t="shared" si="1"/>
        <v>1003818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>
        <f t="shared" si="3"/>
        <v>0</v>
      </c>
      <c r="AB16" s="4">
        <f t="shared" si="2"/>
        <v>1003818</v>
      </c>
    </row>
    <row r="17" spans="1:28" ht="30" customHeight="1">
      <c r="A17" s="10" t="s">
        <v>66</v>
      </c>
      <c r="B17" s="3"/>
      <c r="C17" s="3"/>
      <c r="D17" s="3"/>
      <c r="E17" s="3"/>
      <c r="F17" s="3"/>
      <c r="G17" s="3"/>
      <c r="H17" s="3"/>
      <c r="I17" s="3"/>
      <c r="J17" s="3">
        <f t="shared" si="1"/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>
        <f t="shared" si="3"/>
        <v>0</v>
      </c>
      <c r="AB17" s="4">
        <f t="shared" si="2"/>
        <v>0</v>
      </c>
    </row>
    <row r="18" spans="1:28" ht="30" customHeight="1">
      <c r="A18" s="12" t="s">
        <v>67</v>
      </c>
      <c r="B18" s="3"/>
      <c r="C18" s="3"/>
      <c r="D18" s="3"/>
      <c r="E18" s="3"/>
      <c r="F18" s="3"/>
      <c r="G18" s="3"/>
      <c r="H18" s="3"/>
      <c r="I18" s="3"/>
      <c r="J18" s="3">
        <f t="shared" si="1"/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3"/>
        <v>0</v>
      </c>
      <c r="AB18" s="4">
        <f t="shared" si="2"/>
        <v>0</v>
      </c>
    </row>
    <row r="19" spans="1:28" ht="30" customHeight="1">
      <c r="A19" s="12" t="s">
        <v>68</v>
      </c>
      <c r="B19" s="3">
        <f>135624+1</f>
        <v>135625</v>
      </c>
      <c r="C19" s="3">
        <v>311549</v>
      </c>
      <c r="D19" s="3"/>
      <c r="E19" s="3"/>
      <c r="F19" s="3">
        <v>3488</v>
      </c>
      <c r="G19" s="3">
        <v>460647</v>
      </c>
      <c r="H19" s="3"/>
      <c r="I19" s="3"/>
      <c r="J19" s="3">
        <f t="shared" si="1"/>
        <v>911309</v>
      </c>
      <c r="K19" s="3"/>
      <c r="L19" s="3"/>
      <c r="M19" s="3"/>
      <c r="N19" s="3"/>
      <c r="O19" s="3"/>
      <c r="P19" s="3">
        <v>187797</v>
      </c>
      <c r="Q19" s="3"/>
      <c r="R19" s="3"/>
      <c r="S19" s="3"/>
      <c r="T19" s="3"/>
      <c r="U19" s="3"/>
      <c r="V19" s="3"/>
      <c r="W19" s="3"/>
      <c r="X19" s="3">
        <v>7467</v>
      </c>
      <c r="Y19" s="3">
        <v>1717</v>
      </c>
      <c r="Z19" s="3"/>
      <c r="AA19" s="3">
        <f t="shared" si="3"/>
        <v>196981</v>
      </c>
      <c r="AB19" s="4">
        <f t="shared" si="2"/>
        <v>1108290</v>
      </c>
    </row>
    <row r="20" spans="1:28" ht="30" customHeight="1">
      <c r="A20" s="10" t="s">
        <v>69</v>
      </c>
      <c r="B20" s="3">
        <v>1771404</v>
      </c>
      <c r="C20" s="3">
        <v>1530423</v>
      </c>
      <c r="D20" s="3"/>
      <c r="E20" s="3">
        <v>142</v>
      </c>
      <c r="F20" s="3">
        <v>1427</v>
      </c>
      <c r="G20" s="3">
        <v>41115</v>
      </c>
      <c r="H20" s="3">
        <v>261239</v>
      </c>
      <c r="I20" s="3">
        <v>71</v>
      </c>
      <c r="J20" s="3">
        <f t="shared" si="1"/>
        <v>3605821</v>
      </c>
      <c r="K20" s="93">
        <f>524000-72000</f>
        <v>452000</v>
      </c>
      <c r="L20" s="3"/>
      <c r="M20" s="3"/>
      <c r="N20" s="3"/>
      <c r="O20" s="93">
        <f>156481-1</f>
        <v>156480</v>
      </c>
      <c r="P20" s="93">
        <f>1338372-39000</f>
        <v>1299372</v>
      </c>
      <c r="Q20" s="3"/>
      <c r="R20" s="93">
        <f>4170015-255411</f>
        <v>3914604</v>
      </c>
      <c r="S20" s="3"/>
      <c r="T20" s="3"/>
      <c r="U20" s="3">
        <v>326</v>
      </c>
      <c r="V20" s="93">
        <f>4440536-142126</f>
        <v>4298410</v>
      </c>
      <c r="W20" s="3">
        <v>6272</v>
      </c>
      <c r="X20" s="3">
        <v>44046</v>
      </c>
      <c r="Y20" s="93">
        <f>131585-4322</f>
        <v>127263</v>
      </c>
      <c r="Z20" s="93">
        <f>8071247-541545</f>
        <v>7529702</v>
      </c>
      <c r="AA20" s="3">
        <f t="shared" si="3"/>
        <v>17828475</v>
      </c>
      <c r="AB20" s="4">
        <f t="shared" si="2"/>
        <v>21434296</v>
      </c>
    </row>
    <row r="21" spans="1:28" ht="30" customHeight="1">
      <c r="A21" s="12" t="s">
        <v>70</v>
      </c>
      <c r="B21" s="3">
        <v>550785</v>
      </c>
      <c r="C21" s="3">
        <v>5365060</v>
      </c>
      <c r="D21" s="3"/>
      <c r="E21" s="3"/>
      <c r="F21" s="93">
        <f>5849415-80000-100000</f>
        <v>5669415</v>
      </c>
      <c r="G21" s="93">
        <f>12745288-70000</f>
        <v>12675288</v>
      </c>
      <c r="H21" s="3">
        <v>1604734</v>
      </c>
      <c r="I21" s="3">
        <v>18659</v>
      </c>
      <c r="J21" s="3">
        <f t="shared" si="1"/>
        <v>25883941</v>
      </c>
      <c r="K21" s="3"/>
      <c r="L21" s="3"/>
      <c r="M21" s="3"/>
      <c r="N21" s="3"/>
      <c r="O21" s="3">
        <v>914776</v>
      </c>
      <c r="P21" s="3">
        <v>22270</v>
      </c>
      <c r="Q21" s="3"/>
      <c r="R21" s="3"/>
      <c r="S21" s="3"/>
      <c r="T21" s="3"/>
      <c r="U21" s="3">
        <v>45392</v>
      </c>
      <c r="V21" s="3">
        <v>418719</v>
      </c>
      <c r="W21" s="3">
        <v>36</v>
      </c>
      <c r="X21" s="3">
        <v>29605</v>
      </c>
      <c r="Y21" s="3">
        <v>113349</v>
      </c>
      <c r="Z21" s="3"/>
      <c r="AA21" s="3">
        <f t="shared" si="3"/>
        <v>1544147</v>
      </c>
      <c r="AB21" s="4">
        <f t="shared" si="2"/>
        <v>27428088</v>
      </c>
    </row>
    <row r="22" spans="1:28" ht="30" customHeight="1">
      <c r="A22" s="10" t="s">
        <v>71</v>
      </c>
      <c r="B22" s="3">
        <v>126</v>
      </c>
      <c r="C22" s="3">
        <v>149106</v>
      </c>
      <c r="D22" s="3"/>
      <c r="E22" s="3"/>
      <c r="F22" s="3">
        <v>112807</v>
      </c>
      <c r="G22" s="3"/>
      <c r="H22" s="3">
        <v>5388</v>
      </c>
      <c r="I22" s="3"/>
      <c r="J22" s="3">
        <f t="shared" si="1"/>
        <v>267427</v>
      </c>
      <c r="K22" s="3"/>
      <c r="L22" s="3"/>
      <c r="M22" s="3"/>
      <c r="N22" s="3">
        <v>399058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>
        <f t="shared" si="3"/>
        <v>399058</v>
      </c>
      <c r="AB22" s="4">
        <f t="shared" si="2"/>
        <v>666485</v>
      </c>
    </row>
    <row r="23" spans="1:28" ht="30" customHeight="1">
      <c r="A23" s="10" t="s">
        <v>72</v>
      </c>
      <c r="B23" s="3">
        <v>3966840</v>
      </c>
      <c r="C23" s="3">
        <v>4196096</v>
      </c>
      <c r="D23" s="3"/>
      <c r="E23" s="3">
        <v>8517</v>
      </c>
      <c r="F23" s="3">
        <v>97003</v>
      </c>
      <c r="G23" s="93">
        <f>104396-4500</f>
        <v>99896</v>
      </c>
      <c r="H23" s="3">
        <v>725431</v>
      </c>
      <c r="I23" s="3">
        <v>3832</v>
      </c>
      <c r="J23" s="3">
        <f t="shared" si="1"/>
        <v>9097615</v>
      </c>
      <c r="K23" s="3"/>
      <c r="L23" s="3">
        <v>2491900</v>
      </c>
      <c r="M23" s="3"/>
      <c r="N23" s="3">
        <v>1793</v>
      </c>
      <c r="O23" s="3">
        <v>6000450</v>
      </c>
      <c r="P23" s="3">
        <v>1199</v>
      </c>
      <c r="Q23" s="3"/>
      <c r="R23" s="3"/>
      <c r="S23" s="3"/>
      <c r="T23" s="3"/>
      <c r="U23" s="3">
        <v>338285</v>
      </c>
      <c r="V23" s="3"/>
      <c r="W23" s="3">
        <v>6191</v>
      </c>
      <c r="X23" s="3">
        <v>205635</v>
      </c>
      <c r="Y23" s="3">
        <v>488837</v>
      </c>
      <c r="Z23" s="3"/>
      <c r="AA23" s="3">
        <f t="shared" si="3"/>
        <v>9534290</v>
      </c>
      <c r="AB23" s="4">
        <f t="shared" si="2"/>
        <v>18631905</v>
      </c>
    </row>
    <row r="24" spans="1:28" ht="30" customHeight="1">
      <c r="A24" s="84" t="s">
        <v>185</v>
      </c>
      <c r="B24" s="3"/>
      <c r="C24" s="3"/>
      <c r="D24" s="3"/>
      <c r="E24" s="3"/>
      <c r="F24" s="3"/>
      <c r="G24" s="3"/>
      <c r="H24" s="3"/>
      <c r="I24" s="3"/>
      <c r="J24" s="3">
        <f>SUM(B24:I24)</f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>
        <f>SUM(K24:Z24)</f>
        <v>0</v>
      </c>
      <c r="AB24" s="4">
        <f t="shared" si="2"/>
        <v>0</v>
      </c>
    </row>
    <row r="25" spans="1:28" ht="30" customHeight="1">
      <c r="A25" s="12" t="s">
        <v>99</v>
      </c>
      <c r="B25" s="3">
        <v>87948</v>
      </c>
      <c r="C25" s="3"/>
      <c r="D25" s="3"/>
      <c r="E25" s="3"/>
      <c r="F25" s="3"/>
      <c r="G25" s="3"/>
      <c r="H25" s="3"/>
      <c r="I25" s="3"/>
      <c r="J25" s="3">
        <f t="shared" si="1"/>
        <v>87948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>
        <f t="shared" si="3"/>
        <v>0</v>
      </c>
      <c r="AB25" s="4">
        <f t="shared" si="2"/>
        <v>87948</v>
      </c>
    </row>
    <row r="26" spans="1:27" ht="48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8" ht="30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85"/>
    </row>
  </sheetData>
  <mergeCells count="1">
    <mergeCell ref="X6:X9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27"/>
  <sheetViews>
    <sheetView zoomScale="75" zoomScaleNormal="75" workbookViewId="0" topLeftCell="A5">
      <pane xSplit="1" ySplit="6" topLeftCell="B11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ColWidth="9.00390625" defaultRowHeight="15.75"/>
  <cols>
    <col min="1" max="1" width="27.375" style="0" customWidth="1"/>
    <col min="2" max="2" width="10.125" style="83" customWidth="1"/>
    <col min="3" max="3" width="10.00390625" style="83" customWidth="1"/>
    <col min="4" max="4" width="8.75390625" style="83" customWidth="1"/>
    <col min="5" max="5" width="9.00390625" style="83" customWidth="1"/>
    <col min="6" max="6" width="9.75390625" style="83" bestFit="1" customWidth="1"/>
    <col min="7" max="7" width="11.00390625" style="83" customWidth="1"/>
    <col min="8" max="8" width="11.50390625" style="83" customWidth="1"/>
    <col min="9" max="9" width="9.00390625" style="83" customWidth="1"/>
    <col min="10" max="10" width="11.50390625" style="83" customWidth="1"/>
    <col min="11" max="12" width="9.875" style="83" customWidth="1"/>
    <col min="13" max="13" width="10.125" style="83" customWidth="1"/>
    <col min="14" max="14" width="11.00390625" style="83" customWidth="1"/>
    <col min="15" max="15" width="11.875" style="83" customWidth="1"/>
    <col min="16" max="16" width="10.625" style="83" customWidth="1"/>
    <col min="17" max="17" width="11.25390625" style="83" customWidth="1"/>
    <col min="18" max="18" width="11.50390625" style="83" customWidth="1"/>
    <col min="19" max="21" width="9.00390625" style="83" customWidth="1"/>
    <col min="22" max="22" width="10.625" style="83" bestFit="1" customWidth="1"/>
    <col min="23" max="23" width="10.25390625" style="83" bestFit="1" customWidth="1"/>
    <col min="24" max="24" width="10.125" style="83" customWidth="1"/>
    <col min="25" max="25" width="10.125" style="83" bestFit="1" customWidth="1"/>
    <col min="26" max="26" width="9.75390625" style="83" bestFit="1" customWidth="1"/>
    <col min="27" max="27" width="10.375" style="83" customWidth="1"/>
    <col min="28" max="28" width="12.25390625" style="83" customWidth="1"/>
  </cols>
  <sheetData>
    <row r="1" spans="5:28" ht="21">
      <c r="E1" s="2"/>
      <c r="F1" s="15" t="s">
        <v>95</v>
      </c>
      <c r="G1" s="16" t="s">
        <v>96</v>
      </c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15" t="s">
        <v>95</v>
      </c>
      <c r="T1" s="16" t="s">
        <v>96</v>
      </c>
      <c r="U1" s="68"/>
      <c r="V1" s="68"/>
      <c r="W1" s="68"/>
      <c r="X1" s="68"/>
      <c r="Y1" s="68"/>
      <c r="Z1" s="68"/>
      <c r="AA1" s="68"/>
      <c r="AB1" s="68"/>
    </row>
    <row r="2" spans="2:28" ht="27.75">
      <c r="B2" s="68"/>
      <c r="C2" s="68"/>
      <c r="D2" s="1"/>
      <c r="E2" s="1"/>
      <c r="F2" s="17" t="s">
        <v>97</v>
      </c>
      <c r="G2" s="18" t="s">
        <v>98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17" t="s">
        <v>97</v>
      </c>
      <c r="T2" s="18" t="s">
        <v>98</v>
      </c>
      <c r="U2" s="68"/>
      <c r="V2" s="68"/>
      <c r="W2" s="68"/>
      <c r="X2" s="68"/>
      <c r="Y2" s="68"/>
      <c r="Z2" s="68"/>
      <c r="AA2" s="68"/>
      <c r="AB2" s="68"/>
    </row>
    <row r="3" spans="2:28" ht="16.5">
      <c r="B3" s="68"/>
      <c r="C3" s="68"/>
      <c r="D3" s="68"/>
      <c r="E3" s="68"/>
      <c r="F3" s="19" t="s">
        <v>126</v>
      </c>
      <c r="G3" s="35" t="s">
        <v>127</v>
      </c>
      <c r="H3" s="68"/>
      <c r="I3" s="68"/>
      <c r="J3" s="68"/>
      <c r="K3" s="68"/>
      <c r="L3" s="68"/>
      <c r="M3" s="20" t="s">
        <v>0</v>
      </c>
      <c r="N3" s="68"/>
      <c r="O3" s="68"/>
      <c r="P3" s="68"/>
      <c r="Q3" s="68"/>
      <c r="R3" s="68"/>
      <c r="S3" s="19" t="s">
        <v>126</v>
      </c>
      <c r="T3" s="35" t="s">
        <v>127</v>
      </c>
      <c r="U3" s="68"/>
      <c r="V3" s="68"/>
      <c r="W3" s="68"/>
      <c r="X3" s="68"/>
      <c r="Y3" s="68"/>
      <c r="Z3" s="68"/>
      <c r="AA3" s="68"/>
      <c r="AB3" s="20" t="s">
        <v>0</v>
      </c>
    </row>
    <row r="4" spans="1:28" ht="30" customHeight="1">
      <c r="A4" s="21" t="s">
        <v>1</v>
      </c>
      <c r="B4" s="22" t="s">
        <v>186</v>
      </c>
      <c r="C4" s="69"/>
      <c r="D4" s="69"/>
      <c r="E4" s="69"/>
      <c r="F4" s="69"/>
      <c r="G4" s="69"/>
      <c r="H4" s="69"/>
      <c r="I4" s="69"/>
      <c r="J4" s="70"/>
      <c r="K4" s="23" t="s">
        <v>187</v>
      </c>
      <c r="L4" s="71"/>
      <c r="M4" s="71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3"/>
      <c r="AB4" s="74"/>
    </row>
    <row r="5" spans="1:28" s="9" customFormat="1" ht="25.5" customHeight="1">
      <c r="A5" s="24" t="s">
        <v>3</v>
      </c>
      <c r="B5" s="25" t="s">
        <v>4</v>
      </c>
      <c r="C5" s="25" t="s">
        <v>5</v>
      </c>
      <c r="D5" s="25" t="s">
        <v>6</v>
      </c>
      <c r="E5" s="25" t="s">
        <v>7</v>
      </c>
      <c r="F5" s="26" t="s">
        <v>188</v>
      </c>
      <c r="G5" s="75"/>
      <c r="H5" s="75"/>
      <c r="I5" s="76"/>
      <c r="J5" s="44" t="s">
        <v>112</v>
      </c>
      <c r="K5" s="26" t="s">
        <v>189</v>
      </c>
      <c r="L5" s="75"/>
      <c r="M5" s="76"/>
      <c r="N5" s="26" t="s">
        <v>190</v>
      </c>
      <c r="O5" s="75"/>
      <c r="P5" s="75"/>
      <c r="Q5" s="76"/>
      <c r="R5" s="25" t="s">
        <v>11</v>
      </c>
      <c r="S5" s="25" t="s">
        <v>12</v>
      </c>
      <c r="T5" s="26" t="s">
        <v>191</v>
      </c>
      <c r="U5" s="75"/>
      <c r="V5" s="75"/>
      <c r="W5" s="75"/>
      <c r="X5" s="75"/>
      <c r="Y5" s="75"/>
      <c r="Z5" s="77"/>
      <c r="AA5" s="25" t="s">
        <v>13</v>
      </c>
      <c r="AB5" s="27" t="s">
        <v>14</v>
      </c>
    </row>
    <row r="6" spans="1:28" ht="16.5">
      <c r="A6" s="10"/>
      <c r="B6" s="80"/>
      <c r="C6" s="28" t="s">
        <v>15</v>
      </c>
      <c r="D6" s="28" t="s">
        <v>16</v>
      </c>
      <c r="E6" s="28" t="s">
        <v>192</v>
      </c>
      <c r="F6" s="80"/>
      <c r="G6" s="80"/>
      <c r="H6" s="80"/>
      <c r="I6" s="80"/>
      <c r="J6" s="28" t="s">
        <v>193</v>
      </c>
      <c r="K6" s="80"/>
      <c r="L6" s="43" t="s">
        <v>194</v>
      </c>
      <c r="M6" s="43" t="s">
        <v>195</v>
      </c>
      <c r="N6" s="80" t="s">
        <v>17</v>
      </c>
      <c r="O6" s="80"/>
      <c r="P6" s="80"/>
      <c r="Q6" s="80"/>
      <c r="R6" s="28" t="s">
        <v>18</v>
      </c>
      <c r="S6" s="28" t="s">
        <v>196</v>
      </c>
      <c r="T6" s="80" t="s">
        <v>17</v>
      </c>
      <c r="U6" s="80" t="s">
        <v>17</v>
      </c>
      <c r="V6" s="80"/>
      <c r="W6" s="80"/>
      <c r="X6" s="107" t="s">
        <v>183</v>
      </c>
      <c r="Y6" s="80"/>
      <c r="Z6" s="80"/>
      <c r="AA6" s="28" t="s">
        <v>197</v>
      </c>
      <c r="AB6" s="81"/>
    </row>
    <row r="7" spans="1:28" ht="16.5">
      <c r="A7" s="10"/>
      <c r="B7" s="28" t="s">
        <v>19</v>
      </c>
      <c r="C7" s="28" t="s">
        <v>198</v>
      </c>
      <c r="D7" s="80"/>
      <c r="E7" s="80" t="s">
        <v>17</v>
      </c>
      <c r="F7" s="28" t="s">
        <v>20</v>
      </c>
      <c r="G7" s="28" t="s">
        <v>21</v>
      </c>
      <c r="H7" s="28" t="s">
        <v>20</v>
      </c>
      <c r="I7" s="28" t="s">
        <v>20</v>
      </c>
      <c r="J7" s="80"/>
      <c r="K7" s="28" t="s">
        <v>22</v>
      </c>
      <c r="L7" s="28" t="s">
        <v>199</v>
      </c>
      <c r="M7" s="28" t="s">
        <v>23</v>
      </c>
      <c r="N7" s="28" t="s">
        <v>20</v>
      </c>
      <c r="O7" s="28" t="s">
        <v>21</v>
      </c>
      <c r="P7" s="28" t="s">
        <v>20</v>
      </c>
      <c r="Q7" s="28" t="s">
        <v>20</v>
      </c>
      <c r="R7" s="80"/>
      <c r="S7" s="80"/>
      <c r="T7" s="28" t="s">
        <v>24</v>
      </c>
      <c r="U7" s="28" t="s">
        <v>25</v>
      </c>
      <c r="V7" s="28" t="s">
        <v>26</v>
      </c>
      <c r="W7" s="28" t="s">
        <v>27</v>
      </c>
      <c r="X7" s="108"/>
      <c r="Y7" s="28" t="s">
        <v>28</v>
      </c>
      <c r="Z7" s="28" t="s">
        <v>29</v>
      </c>
      <c r="AA7" s="80"/>
      <c r="AB7" s="81"/>
    </row>
    <row r="8" spans="1:28" ht="16.5">
      <c r="A8" s="29" t="s">
        <v>30</v>
      </c>
      <c r="B8" s="80"/>
      <c r="C8" s="28" t="s">
        <v>31</v>
      </c>
      <c r="D8" s="28" t="s">
        <v>32</v>
      </c>
      <c r="E8" s="28" t="s">
        <v>200</v>
      </c>
      <c r="F8" s="28" t="s">
        <v>33</v>
      </c>
      <c r="G8" s="28" t="s">
        <v>34</v>
      </c>
      <c r="H8" s="28" t="s">
        <v>35</v>
      </c>
      <c r="I8" s="28" t="s">
        <v>36</v>
      </c>
      <c r="J8" s="28" t="s">
        <v>201</v>
      </c>
      <c r="K8" s="80"/>
      <c r="L8" s="28" t="s">
        <v>202</v>
      </c>
      <c r="M8" s="80"/>
      <c r="N8" s="28" t="s">
        <v>33</v>
      </c>
      <c r="O8" s="28" t="s">
        <v>34</v>
      </c>
      <c r="P8" s="28" t="s">
        <v>35</v>
      </c>
      <c r="Q8" s="28" t="s">
        <v>36</v>
      </c>
      <c r="R8" s="28" t="s">
        <v>37</v>
      </c>
      <c r="S8" s="28" t="s">
        <v>203</v>
      </c>
      <c r="T8" s="80"/>
      <c r="U8" s="28" t="s">
        <v>24</v>
      </c>
      <c r="V8" s="80"/>
      <c r="W8" s="80"/>
      <c r="X8" s="108"/>
      <c r="Y8" s="28" t="s">
        <v>38</v>
      </c>
      <c r="Z8" s="80"/>
      <c r="AA8" s="28" t="s">
        <v>201</v>
      </c>
      <c r="AB8" s="30" t="s">
        <v>39</v>
      </c>
    </row>
    <row r="9" spans="1:28" ht="16.5">
      <c r="A9" s="31" t="s">
        <v>3</v>
      </c>
      <c r="B9" s="32" t="s">
        <v>40</v>
      </c>
      <c r="C9" s="32" t="s">
        <v>41</v>
      </c>
      <c r="D9" s="32" t="s">
        <v>42</v>
      </c>
      <c r="E9" s="32" t="s">
        <v>43</v>
      </c>
      <c r="F9" s="32" t="s">
        <v>44</v>
      </c>
      <c r="G9" s="32" t="s">
        <v>45</v>
      </c>
      <c r="H9" s="32" t="s">
        <v>46</v>
      </c>
      <c r="I9" s="32" t="s">
        <v>47</v>
      </c>
      <c r="J9" s="32" t="s">
        <v>48</v>
      </c>
      <c r="K9" s="32" t="s">
        <v>49</v>
      </c>
      <c r="L9" s="32" t="s">
        <v>204</v>
      </c>
      <c r="M9" s="32" t="s">
        <v>51</v>
      </c>
      <c r="N9" s="32" t="s">
        <v>44</v>
      </c>
      <c r="O9" s="32" t="s">
        <v>205</v>
      </c>
      <c r="P9" s="32" t="s">
        <v>46</v>
      </c>
      <c r="Q9" s="32" t="s">
        <v>47</v>
      </c>
      <c r="R9" s="32" t="s">
        <v>52</v>
      </c>
      <c r="S9" s="32" t="s">
        <v>53</v>
      </c>
      <c r="T9" s="32" t="s">
        <v>54</v>
      </c>
      <c r="U9" s="32" t="s">
        <v>54</v>
      </c>
      <c r="V9" s="32" t="s">
        <v>55</v>
      </c>
      <c r="W9" s="32" t="s">
        <v>56</v>
      </c>
      <c r="X9" s="109"/>
      <c r="Y9" s="32" t="s">
        <v>57</v>
      </c>
      <c r="Z9" s="32" t="s">
        <v>58</v>
      </c>
      <c r="AA9" s="32" t="s">
        <v>48</v>
      </c>
      <c r="AB9" s="82"/>
    </row>
    <row r="10" spans="1:28" ht="30" customHeight="1">
      <c r="A10" s="10" t="s">
        <v>59</v>
      </c>
      <c r="B10" s="3">
        <f aca="true" t="shared" si="0" ref="B10:AB10">SUM(B11:B25)</f>
        <v>8632833</v>
      </c>
      <c r="C10" s="3">
        <f t="shared" si="0"/>
        <v>2749135</v>
      </c>
      <c r="D10" s="3">
        <f t="shared" si="0"/>
        <v>0</v>
      </c>
      <c r="E10" s="3">
        <f t="shared" si="0"/>
        <v>8701</v>
      </c>
      <c r="F10" s="3">
        <f t="shared" si="0"/>
        <v>919877</v>
      </c>
      <c r="G10" s="3">
        <f t="shared" si="0"/>
        <v>86495</v>
      </c>
      <c r="H10" s="3">
        <f t="shared" si="0"/>
        <v>396691</v>
      </c>
      <c r="I10" s="3">
        <f t="shared" si="0"/>
        <v>3709</v>
      </c>
      <c r="J10" s="3">
        <f t="shared" si="0"/>
        <v>12797441</v>
      </c>
      <c r="K10" s="3">
        <f t="shared" si="0"/>
        <v>2437840</v>
      </c>
      <c r="L10" s="3">
        <f t="shared" si="0"/>
        <v>1000000</v>
      </c>
      <c r="M10" s="3">
        <f t="shared" si="0"/>
        <v>0</v>
      </c>
      <c r="N10" s="3">
        <f t="shared" si="0"/>
        <v>191970</v>
      </c>
      <c r="O10" s="3">
        <f t="shared" si="0"/>
        <v>0</v>
      </c>
      <c r="P10" s="3">
        <f t="shared" si="0"/>
        <v>32529473</v>
      </c>
      <c r="Q10" s="3">
        <f t="shared" si="0"/>
        <v>0</v>
      </c>
      <c r="R10" s="3">
        <f t="shared" si="0"/>
        <v>394275</v>
      </c>
      <c r="S10" s="3">
        <f t="shared" si="0"/>
        <v>0</v>
      </c>
      <c r="T10" s="3">
        <f t="shared" si="0"/>
        <v>0</v>
      </c>
      <c r="U10" s="3">
        <f t="shared" si="0"/>
        <v>176097</v>
      </c>
      <c r="V10" s="3">
        <f t="shared" si="0"/>
        <v>40451325</v>
      </c>
      <c r="W10" s="3">
        <f t="shared" si="0"/>
        <v>63816</v>
      </c>
      <c r="X10" s="3">
        <f>SUM(X11:X25)</f>
        <v>99119</v>
      </c>
      <c r="Y10" s="3">
        <f t="shared" si="0"/>
        <v>675988</v>
      </c>
      <c r="Z10" s="3">
        <f t="shared" si="0"/>
        <v>6750</v>
      </c>
      <c r="AA10" s="3">
        <f t="shared" si="0"/>
        <v>78026653</v>
      </c>
      <c r="AB10" s="5">
        <f t="shared" si="0"/>
        <v>90824094</v>
      </c>
    </row>
    <row r="11" spans="1:28" ht="30" customHeight="1">
      <c r="A11" s="10" t="s">
        <v>60</v>
      </c>
      <c r="B11" s="93">
        <f>20444+1</f>
        <v>20445</v>
      </c>
      <c r="C11" s="3">
        <v>118515</v>
      </c>
      <c r="D11" s="3"/>
      <c r="E11" s="3"/>
      <c r="F11" s="3"/>
      <c r="G11" s="3"/>
      <c r="H11" s="3"/>
      <c r="I11" s="3"/>
      <c r="J11" s="3">
        <f aca="true" t="shared" si="1" ref="J11:J25">SUM(B11:I11)</f>
        <v>138960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>
        <v>21408</v>
      </c>
      <c r="Y11" s="3">
        <v>27555</v>
      </c>
      <c r="Z11" s="3"/>
      <c r="AA11" s="3">
        <f>SUM(K11:Z11)</f>
        <v>48963</v>
      </c>
      <c r="AB11" s="4">
        <f aca="true" t="shared" si="2" ref="AB11:AB25">SUM(J11,AA11)</f>
        <v>187923</v>
      </c>
    </row>
    <row r="12" spans="1:28" ht="30" customHeight="1">
      <c r="A12" s="12" t="s">
        <v>61</v>
      </c>
      <c r="B12" s="3"/>
      <c r="C12" s="3"/>
      <c r="D12" s="3"/>
      <c r="E12" s="3"/>
      <c r="F12" s="3"/>
      <c r="G12" s="3"/>
      <c r="H12" s="3"/>
      <c r="I12" s="3"/>
      <c r="J12" s="3">
        <f t="shared" si="1"/>
        <v>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aca="true" t="shared" si="3" ref="AA12:AA25">SUM(K12:Z12)</f>
        <v>0</v>
      </c>
      <c r="AB12" s="4">
        <f t="shared" si="2"/>
        <v>0</v>
      </c>
    </row>
    <row r="13" spans="1:28" ht="30" customHeight="1">
      <c r="A13" s="10" t="s">
        <v>62</v>
      </c>
      <c r="B13" s="3"/>
      <c r="C13" s="3"/>
      <c r="D13" s="3"/>
      <c r="E13" s="3"/>
      <c r="F13" s="3"/>
      <c r="G13" s="3"/>
      <c r="H13" s="3"/>
      <c r="I13" s="3"/>
      <c r="J13" s="3">
        <f t="shared" si="1"/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 t="shared" si="3"/>
        <v>0</v>
      </c>
      <c r="AB13" s="4">
        <f t="shared" si="2"/>
        <v>0</v>
      </c>
    </row>
    <row r="14" spans="1:28" ht="30" customHeight="1">
      <c r="A14" s="10" t="s">
        <v>63</v>
      </c>
      <c r="B14" s="3"/>
      <c r="C14" s="3"/>
      <c r="D14" s="3"/>
      <c r="E14" s="3"/>
      <c r="F14" s="3"/>
      <c r="G14" s="3"/>
      <c r="H14" s="3"/>
      <c r="I14" s="3"/>
      <c r="J14" s="3">
        <f t="shared" si="1"/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 t="shared" si="3"/>
        <v>0</v>
      </c>
      <c r="AB14" s="4">
        <f t="shared" si="2"/>
        <v>0</v>
      </c>
    </row>
    <row r="15" spans="1:28" ht="30" customHeight="1">
      <c r="A15" s="10" t="s">
        <v>64</v>
      </c>
      <c r="B15" s="3"/>
      <c r="C15" s="3"/>
      <c r="D15" s="3"/>
      <c r="E15" s="3"/>
      <c r="F15" s="3"/>
      <c r="G15" s="3"/>
      <c r="H15" s="3"/>
      <c r="I15" s="3"/>
      <c r="J15" s="3">
        <f t="shared" si="1"/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>
        <f t="shared" si="3"/>
        <v>0</v>
      </c>
      <c r="AB15" s="4">
        <f t="shared" si="2"/>
        <v>0</v>
      </c>
    </row>
    <row r="16" spans="1:28" ht="30" customHeight="1">
      <c r="A16" s="10" t="s">
        <v>65</v>
      </c>
      <c r="B16" s="3">
        <v>1189347</v>
      </c>
      <c r="C16" s="3"/>
      <c r="D16" s="3"/>
      <c r="E16" s="3"/>
      <c r="F16" s="3"/>
      <c r="G16" s="3">
        <v>3833</v>
      </c>
      <c r="H16" s="3"/>
      <c r="I16" s="3"/>
      <c r="J16" s="3">
        <f t="shared" si="1"/>
        <v>1193180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>
        <f t="shared" si="3"/>
        <v>0</v>
      </c>
      <c r="AB16" s="4">
        <f t="shared" si="2"/>
        <v>1193180</v>
      </c>
    </row>
    <row r="17" spans="1:28" ht="30" customHeight="1">
      <c r="A17" s="10" t="s">
        <v>66</v>
      </c>
      <c r="B17" s="3"/>
      <c r="C17" s="3"/>
      <c r="D17" s="3"/>
      <c r="E17" s="3"/>
      <c r="F17" s="3"/>
      <c r="G17" s="3"/>
      <c r="H17" s="3"/>
      <c r="I17" s="3"/>
      <c r="J17" s="3">
        <f t="shared" si="1"/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>
        <f t="shared" si="3"/>
        <v>0</v>
      </c>
      <c r="AB17" s="4">
        <f t="shared" si="2"/>
        <v>0</v>
      </c>
    </row>
    <row r="18" spans="1:28" ht="30" customHeight="1">
      <c r="A18" s="12" t="s">
        <v>67</v>
      </c>
      <c r="B18" s="3"/>
      <c r="C18" s="3"/>
      <c r="D18" s="3"/>
      <c r="E18" s="3"/>
      <c r="F18" s="3"/>
      <c r="G18" s="3"/>
      <c r="H18" s="3"/>
      <c r="I18" s="3"/>
      <c r="J18" s="3">
        <f t="shared" si="1"/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3"/>
        <v>0</v>
      </c>
      <c r="AB18" s="4">
        <f t="shared" si="2"/>
        <v>0</v>
      </c>
    </row>
    <row r="19" spans="1:28" ht="30" customHeight="1">
      <c r="A19" s="12" t="s">
        <v>68</v>
      </c>
      <c r="B19" s="3"/>
      <c r="C19" s="3"/>
      <c r="D19" s="3"/>
      <c r="E19" s="3"/>
      <c r="F19" s="3"/>
      <c r="G19" s="3"/>
      <c r="H19" s="3"/>
      <c r="I19" s="3"/>
      <c r="J19" s="3">
        <f t="shared" si="1"/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3"/>
        <v>0</v>
      </c>
      <c r="AB19" s="4">
        <f t="shared" si="2"/>
        <v>0</v>
      </c>
    </row>
    <row r="20" spans="1:28" ht="30" customHeight="1">
      <c r="A20" s="10" t="s">
        <v>69</v>
      </c>
      <c r="B20" s="3"/>
      <c r="C20" s="3"/>
      <c r="D20" s="3"/>
      <c r="E20" s="3"/>
      <c r="F20" s="3"/>
      <c r="G20" s="3"/>
      <c r="H20" s="3"/>
      <c r="I20" s="3"/>
      <c r="J20" s="3">
        <f t="shared" si="1"/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3"/>
        <v>0</v>
      </c>
      <c r="AB20" s="4">
        <f t="shared" si="2"/>
        <v>0</v>
      </c>
    </row>
    <row r="21" spans="1:28" ht="30" customHeight="1">
      <c r="A21" s="12" t="s">
        <v>70</v>
      </c>
      <c r="B21" s="3"/>
      <c r="C21" s="3"/>
      <c r="D21" s="3"/>
      <c r="E21" s="3"/>
      <c r="F21" s="3"/>
      <c r="G21" s="3"/>
      <c r="H21" s="3"/>
      <c r="I21" s="3"/>
      <c r="J21" s="3">
        <f t="shared" si="1"/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3"/>
        <v>0</v>
      </c>
      <c r="AB21" s="4">
        <f t="shared" si="2"/>
        <v>0</v>
      </c>
    </row>
    <row r="22" spans="1:28" ht="30" customHeight="1">
      <c r="A22" s="10" t="s">
        <v>71</v>
      </c>
      <c r="B22" s="3">
        <v>5940766</v>
      </c>
      <c r="C22" s="3">
        <v>1680970</v>
      </c>
      <c r="D22" s="3"/>
      <c r="E22" s="3">
        <v>7961</v>
      </c>
      <c r="F22" s="3">
        <v>918577</v>
      </c>
      <c r="G22" s="3">
        <v>38771</v>
      </c>
      <c r="H22" s="3">
        <v>367925</v>
      </c>
      <c r="I22" s="3">
        <v>1637</v>
      </c>
      <c r="J22" s="3">
        <f t="shared" si="1"/>
        <v>8956607</v>
      </c>
      <c r="K22" s="3">
        <v>2437840</v>
      </c>
      <c r="L22" s="3"/>
      <c r="M22" s="3"/>
      <c r="N22" s="3">
        <v>191970</v>
      </c>
      <c r="O22" s="3"/>
      <c r="P22" s="93">
        <f>33071836-1114824-923000</f>
        <v>31034012</v>
      </c>
      <c r="Q22" s="3"/>
      <c r="R22" s="3">
        <v>27016</v>
      </c>
      <c r="S22" s="3"/>
      <c r="T22" s="3"/>
      <c r="U22" s="3">
        <v>59980</v>
      </c>
      <c r="V22" s="93">
        <f>39521394-381621-2356176</f>
        <v>36783597</v>
      </c>
      <c r="W22" s="3">
        <v>63169</v>
      </c>
      <c r="X22" s="3">
        <v>22560</v>
      </c>
      <c r="Y22" s="3">
        <v>306305</v>
      </c>
      <c r="Z22" s="3"/>
      <c r="AA22" s="3">
        <f t="shared" si="3"/>
        <v>70926449</v>
      </c>
      <c r="AB22" s="4">
        <f t="shared" si="2"/>
        <v>79883056</v>
      </c>
    </row>
    <row r="23" spans="1:28" ht="30" customHeight="1">
      <c r="A23" s="10" t="s">
        <v>72</v>
      </c>
      <c r="B23" s="3">
        <v>1454450</v>
      </c>
      <c r="C23" s="3">
        <v>949650</v>
      </c>
      <c r="D23" s="3"/>
      <c r="E23" s="3">
        <v>740</v>
      </c>
      <c r="F23" s="3">
        <v>1300</v>
      </c>
      <c r="G23" s="3">
        <v>43891</v>
      </c>
      <c r="H23" s="3">
        <v>28766</v>
      </c>
      <c r="I23" s="3">
        <v>2072</v>
      </c>
      <c r="J23" s="3">
        <f t="shared" si="1"/>
        <v>2480869</v>
      </c>
      <c r="K23" s="3"/>
      <c r="L23" s="3">
        <v>1000000</v>
      </c>
      <c r="M23" s="3"/>
      <c r="N23" s="3"/>
      <c r="O23" s="3"/>
      <c r="P23" s="3">
        <f>1495461</f>
        <v>1495461</v>
      </c>
      <c r="Q23" s="3"/>
      <c r="R23" s="3">
        <v>367259</v>
      </c>
      <c r="S23" s="3"/>
      <c r="T23" s="3"/>
      <c r="U23" s="3">
        <v>116117</v>
      </c>
      <c r="V23" s="3">
        <f>3667728</f>
        <v>3667728</v>
      </c>
      <c r="W23" s="3">
        <v>647</v>
      </c>
      <c r="X23" s="3">
        <v>55151</v>
      </c>
      <c r="Y23" s="3">
        <v>342128</v>
      </c>
      <c r="Z23" s="3">
        <v>6750</v>
      </c>
      <c r="AA23" s="3">
        <f t="shared" si="3"/>
        <v>7051241</v>
      </c>
      <c r="AB23" s="4">
        <f t="shared" si="2"/>
        <v>9532110</v>
      </c>
    </row>
    <row r="24" spans="1:28" ht="30" customHeight="1">
      <c r="A24" s="66" t="s">
        <v>185</v>
      </c>
      <c r="B24" s="3"/>
      <c r="C24" s="3"/>
      <c r="D24" s="3"/>
      <c r="E24" s="3"/>
      <c r="F24" s="3"/>
      <c r="G24" s="3"/>
      <c r="H24" s="3"/>
      <c r="I24" s="3"/>
      <c r="J24" s="3">
        <f>SUM(B24:I24)</f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>
        <f>SUM(K24:Z24)</f>
        <v>0</v>
      </c>
      <c r="AB24" s="4">
        <f t="shared" si="2"/>
        <v>0</v>
      </c>
    </row>
    <row r="25" spans="1:28" ht="30" customHeight="1">
      <c r="A25" s="12" t="s">
        <v>99</v>
      </c>
      <c r="B25" s="3">
        <v>27825</v>
      </c>
      <c r="C25" s="3"/>
      <c r="D25" s="3"/>
      <c r="E25" s="3"/>
      <c r="F25" s="3"/>
      <c r="G25" s="3"/>
      <c r="H25" s="3"/>
      <c r="I25" s="3"/>
      <c r="J25" s="3">
        <f t="shared" si="1"/>
        <v>27825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>
        <f t="shared" si="3"/>
        <v>0</v>
      </c>
      <c r="AB25" s="4">
        <f t="shared" si="2"/>
        <v>27825</v>
      </c>
    </row>
    <row r="26" spans="1:27" ht="48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8" ht="30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85"/>
    </row>
  </sheetData>
  <mergeCells count="1">
    <mergeCell ref="X6:X9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27"/>
  <sheetViews>
    <sheetView zoomScale="75" zoomScaleNormal="75" workbookViewId="0" topLeftCell="A5">
      <pane xSplit="1" ySplit="6" topLeftCell="B11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ColWidth="9.00390625" defaultRowHeight="15.75"/>
  <cols>
    <col min="1" max="1" width="27.375" style="0" customWidth="1"/>
    <col min="2" max="2" width="10.125" style="83" customWidth="1"/>
    <col min="3" max="3" width="10.00390625" style="83" customWidth="1"/>
    <col min="4" max="4" width="8.75390625" style="83" customWidth="1"/>
    <col min="5" max="6" width="9.00390625" style="83" customWidth="1"/>
    <col min="7" max="7" width="11.00390625" style="83" customWidth="1"/>
    <col min="8" max="8" width="11.50390625" style="83" customWidth="1"/>
    <col min="9" max="9" width="9.00390625" style="83" customWidth="1"/>
    <col min="10" max="10" width="11.50390625" style="83" customWidth="1"/>
    <col min="11" max="12" width="9.875" style="83" customWidth="1"/>
    <col min="13" max="13" width="10.125" style="83" customWidth="1"/>
    <col min="14" max="14" width="11.00390625" style="83" customWidth="1"/>
    <col min="15" max="15" width="11.875" style="83" customWidth="1"/>
    <col min="16" max="16" width="10.625" style="83" customWidth="1"/>
    <col min="17" max="17" width="11.25390625" style="83" customWidth="1"/>
    <col min="18" max="18" width="11.50390625" style="83" customWidth="1"/>
    <col min="19" max="19" width="9.00390625" style="83" customWidth="1"/>
    <col min="20" max="20" width="9.375" style="83" bestFit="1" customWidth="1"/>
    <col min="21" max="21" width="9.75390625" style="83" bestFit="1" customWidth="1"/>
    <col min="22" max="22" width="9.00390625" style="83" customWidth="1"/>
    <col min="23" max="23" width="9.375" style="83" bestFit="1" customWidth="1"/>
    <col min="24" max="24" width="9.25390625" style="83" customWidth="1"/>
    <col min="25" max="25" width="9.25390625" style="83" bestFit="1" customWidth="1"/>
    <col min="26" max="26" width="9.00390625" style="83" customWidth="1"/>
    <col min="27" max="27" width="10.375" style="83" customWidth="1"/>
    <col min="28" max="28" width="12.25390625" style="83" customWidth="1"/>
  </cols>
  <sheetData>
    <row r="1" spans="5:28" ht="21">
      <c r="E1" s="2"/>
      <c r="F1" s="15" t="s">
        <v>95</v>
      </c>
      <c r="G1" s="16" t="s">
        <v>96</v>
      </c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15" t="s">
        <v>95</v>
      </c>
      <c r="T1" s="16" t="s">
        <v>96</v>
      </c>
      <c r="U1" s="68"/>
      <c r="V1" s="68"/>
      <c r="W1" s="68"/>
      <c r="X1" s="68"/>
      <c r="Y1" s="68"/>
      <c r="Z1" s="68"/>
      <c r="AA1" s="68"/>
      <c r="AB1" s="68"/>
    </row>
    <row r="2" spans="2:28" ht="27.75">
      <c r="B2" s="68"/>
      <c r="C2" s="68"/>
      <c r="D2" s="1"/>
      <c r="E2" s="1"/>
      <c r="F2" s="17" t="s">
        <v>97</v>
      </c>
      <c r="G2" s="18" t="s">
        <v>98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17" t="s">
        <v>97</v>
      </c>
      <c r="T2" s="18" t="s">
        <v>98</v>
      </c>
      <c r="U2" s="68"/>
      <c r="V2" s="68"/>
      <c r="W2" s="68"/>
      <c r="X2" s="68"/>
      <c r="Y2" s="68"/>
      <c r="Z2" s="68"/>
      <c r="AA2" s="68"/>
      <c r="AB2" s="68"/>
    </row>
    <row r="3" spans="2:28" ht="16.5">
      <c r="B3" s="68"/>
      <c r="C3" s="68"/>
      <c r="D3" s="68"/>
      <c r="E3" s="68"/>
      <c r="F3" s="19" t="s">
        <v>126</v>
      </c>
      <c r="G3" s="35" t="s">
        <v>127</v>
      </c>
      <c r="H3" s="68"/>
      <c r="I3" s="68"/>
      <c r="J3" s="68"/>
      <c r="K3" s="68"/>
      <c r="L3" s="68"/>
      <c r="M3" s="20" t="s">
        <v>0</v>
      </c>
      <c r="N3" s="68"/>
      <c r="O3" s="68"/>
      <c r="P3" s="68"/>
      <c r="Q3" s="68"/>
      <c r="R3" s="68"/>
      <c r="S3" s="19" t="s">
        <v>126</v>
      </c>
      <c r="T3" s="35" t="s">
        <v>127</v>
      </c>
      <c r="U3" s="68"/>
      <c r="V3" s="68"/>
      <c r="W3" s="68"/>
      <c r="X3" s="68"/>
      <c r="Y3" s="68"/>
      <c r="Z3" s="68"/>
      <c r="AA3" s="68"/>
      <c r="AB3" s="20" t="s">
        <v>0</v>
      </c>
    </row>
    <row r="4" spans="1:28" ht="30" customHeight="1">
      <c r="A4" s="21" t="s">
        <v>1</v>
      </c>
      <c r="B4" s="22" t="s">
        <v>186</v>
      </c>
      <c r="C4" s="69"/>
      <c r="D4" s="69"/>
      <c r="E4" s="69"/>
      <c r="F4" s="69"/>
      <c r="G4" s="69"/>
      <c r="H4" s="69"/>
      <c r="I4" s="69"/>
      <c r="J4" s="70"/>
      <c r="K4" s="23" t="s">
        <v>187</v>
      </c>
      <c r="L4" s="71"/>
      <c r="M4" s="71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3"/>
      <c r="AB4" s="74"/>
    </row>
    <row r="5" spans="1:28" s="9" customFormat="1" ht="25.5" customHeight="1">
      <c r="A5" s="24" t="s">
        <v>3</v>
      </c>
      <c r="B5" s="25" t="s">
        <v>4</v>
      </c>
      <c r="C5" s="25" t="s">
        <v>5</v>
      </c>
      <c r="D5" s="25" t="s">
        <v>6</v>
      </c>
      <c r="E5" s="25" t="s">
        <v>7</v>
      </c>
      <c r="F5" s="26" t="s">
        <v>188</v>
      </c>
      <c r="G5" s="75"/>
      <c r="H5" s="75"/>
      <c r="I5" s="76"/>
      <c r="J5" s="44" t="s">
        <v>112</v>
      </c>
      <c r="K5" s="26" t="s">
        <v>189</v>
      </c>
      <c r="L5" s="75"/>
      <c r="M5" s="76"/>
      <c r="N5" s="26" t="s">
        <v>190</v>
      </c>
      <c r="O5" s="75"/>
      <c r="P5" s="75"/>
      <c r="Q5" s="76"/>
      <c r="R5" s="25" t="s">
        <v>11</v>
      </c>
      <c r="S5" s="25" t="s">
        <v>12</v>
      </c>
      <c r="T5" s="26" t="s">
        <v>191</v>
      </c>
      <c r="U5" s="75"/>
      <c r="V5" s="75"/>
      <c r="W5" s="75"/>
      <c r="X5" s="75"/>
      <c r="Y5" s="75"/>
      <c r="Z5" s="77"/>
      <c r="AA5" s="25" t="s">
        <v>13</v>
      </c>
      <c r="AB5" s="27" t="s">
        <v>14</v>
      </c>
    </row>
    <row r="6" spans="1:28" ht="16.5">
      <c r="A6" s="10"/>
      <c r="B6" s="80"/>
      <c r="C6" s="28" t="s">
        <v>15</v>
      </c>
      <c r="D6" s="28" t="s">
        <v>16</v>
      </c>
      <c r="E6" s="28" t="s">
        <v>192</v>
      </c>
      <c r="F6" s="80"/>
      <c r="G6" s="80"/>
      <c r="H6" s="80"/>
      <c r="I6" s="80"/>
      <c r="J6" s="28" t="s">
        <v>193</v>
      </c>
      <c r="K6" s="80"/>
      <c r="L6" s="43" t="s">
        <v>194</v>
      </c>
      <c r="M6" s="43" t="s">
        <v>195</v>
      </c>
      <c r="N6" s="80" t="s">
        <v>17</v>
      </c>
      <c r="O6" s="80"/>
      <c r="P6" s="80"/>
      <c r="Q6" s="80"/>
      <c r="R6" s="28" t="s">
        <v>18</v>
      </c>
      <c r="S6" s="28" t="s">
        <v>196</v>
      </c>
      <c r="T6" s="80" t="s">
        <v>17</v>
      </c>
      <c r="U6" s="80" t="s">
        <v>17</v>
      </c>
      <c r="V6" s="80"/>
      <c r="W6" s="80"/>
      <c r="X6" s="107" t="s">
        <v>183</v>
      </c>
      <c r="Y6" s="80"/>
      <c r="Z6" s="80"/>
      <c r="AA6" s="28" t="s">
        <v>197</v>
      </c>
      <c r="AB6" s="81"/>
    </row>
    <row r="7" spans="1:28" ht="16.5">
      <c r="A7" s="10"/>
      <c r="B7" s="28" t="s">
        <v>19</v>
      </c>
      <c r="C7" s="28" t="s">
        <v>198</v>
      </c>
      <c r="D7" s="80"/>
      <c r="E7" s="80" t="s">
        <v>17</v>
      </c>
      <c r="F7" s="28" t="s">
        <v>20</v>
      </c>
      <c r="G7" s="28" t="s">
        <v>21</v>
      </c>
      <c r="H7" s="28" t="s">
        <v>20</v>
      </c>
      <c r="I7" s="28" t="s">
        <v>20</v>
      </c>
      <c r="J7" s="80"/>
      <c r="K7" s="28" t="s">
        <v>22</v>
      </c>
      <c r="L7" s="28" t="s">
        <v>199</v>
      </c>
      <c r="M7" s="28" t="s">
        <v>23</v>
      </c>
      <c r="N7" s="28" t="s">
        <v>20</v>
      </c>
      <c r="O7" s="28" t="s">
        <v>21</v>
      </c>
      <c r="P7" s="28" t="s">
        <v>20</v>
      </c>
      <c r="Q7" s="28" t="s">
        <v>20</v>
      </c>
      <c r="R7" s="80"/>
      <c r="S7" s="80"/>
      <c r="T7" s="28" t="s">
        <v>24</v>
      </c>
      <c r="U7" s="28" t="s">
        <v>25</v>
      </c>
      <c r="V7" s="28" t="s">
        <v>26</v>
      </c>
      <c r="W7" s="28" t="s">
        <v>27</v>
      </c>
      <c r="X7" s="108"/>
      <c r="Y7" s="28" t="s">
        <v>28</v>
      </c>
      <c r="Z7" s="28" t="s">
        <v>29</v>
      </c>
      <c r="AA7" s="80"/>
      <c r="AB7" s="81"/>
    </row>
    <row r="8" spans="1:28" ht="16.5">
      <c r="A8" s="29" t="s">
        <v>30</v>
      </c>
      <c r="B8" s="80"/>
      <c r="C8" s="28" t="s">
        <v>31</v>
      </c>
      <c r="D8" s="28" t="s">
        <v>32</v>
      </c>
      <c r="E8" s="28" t="s">
        <v>200</v>
      </c>
      <c r="F8" s="28" t="s">
        <v>33</v>
      </c>
      <c r="G8" s="28" t="s">
        <v>34</v>
      </c>
      <c r="H8" s="28" t="s">
        <v>35</v>
      </c>
      <c r="I8" s="28" t="s">
        <v>36</v>
      </c>
      <c r="J8" s="28" t="s">
        <v>201</v>
      </c>
      <c r="K8" s="80"/>
      <c r="L8" s="28" t="s">
        <v>202</v>
      </c>
      <c r="M8" s="80"/>
      <c r="N8" s="28" t="s">
        <v>33</v>
      </c>
      <c r="O8" s="28" t="s">
        <v>34</v>
      </c>
      <c r="P8" s="28" t="s">
        <v>35</v>
      </c>
      <c r="Q8" s="28" t="s">
        <v>36</v>
      </c>
      <c r="R8" s="28" t="s">
        <v>37</v>
      </c>
      <c r="S8" s="28" t="s">
        <v>203</v>
      </c>
      <c r="T8" s="80"/>
      <c r="U8" s="28" t="s">
        <v>24</v>
      </c>
      <c r="V8" s="80"/>
      <c r="W8" s="80"/>
      <c r="X8" s="108"/>
      <c r="Y8" s="28" t="s">
        <v>38</v>
      </c>
      <c r="Z8" s="80"/>
      <c r="AA8" s="28" t="s">
        <v>201</v>
      </c>
      <c r="AB8" s="30" t="s">
        <v>39</v>
      </c>
    </row>
    <row r="9" spans="1:28" ht="16.5">
      <c r="A9" s="31" t="s">
        <v>3</v>
      </c>
      <c r="B9" s="32" t="s">
        <v>40</v>
      </c>
      <c r="C9" s="32" t="s">
        <v>41</v>
      </c>
      <c r="D9" s="32" t="s">
        <v>42</v>
      </c>
      <c r="E9" s="32" t="s">
        <v>43</v>
      </c>
      <c r="F9" s="32" t="s">
        <v>44</v>
      </c>
      <c r="G9" s="32" t="s">
        <v>45</v>
      </c>
      <c r="H9" s="32" t="s">
        <v>46</v>
      </c>
      <c r="I9" s="32" t="s">
        <v>47</v>
      </c>
      <c r="J9" s="32" t="s">
        <v>48</v>
      </c>
      <c r="K9" s="32" t="s">
        <v>49</v>
      </c>
      <c r="L9" s="32" t="s">
        <v>204</v>
      </c>
      <c r="M9" s="32" t="s">
        <v>51</v>
      </c>
      <c r="N9" s="32" t="s">
        <v>44</v>
      </c>
      <c r="O9" s="32" t="s">
        <v>205</v>
      </c>
      <c r="P9" s="32" t="s">
        <v>46</v>
      </c>
      <c r="Q9" s="32" t="s">
        <v>47</v>
      </c>
      <c r="R9" s="32" t="s">
        <v>52</v>
      </c>
      <c r="S9" s="32" t="s">
        <v>53</v>
      </c>
      <c r="T9" s="32" t="s">
        <v>54</v>
      </c>
      <c r="U9" s="32" t="s">
        <v>54</v>
      </c>
      <c r="V9" s="32" t="s">
        <v>55</v>
      </c>
      <c r="W9" s="32" t="s">
        <v>56</v>
      </c>
      <c r="X9" s="109"/>
      <c r="Y9" s="32" t="s">
        <v>57</v>
      </c>
      <c r="Z9" s="32" t="s">
        <v>58</v>
      </c>
      <c r="AA9" s="32" t="s">
        <v>48</v>
      </c>
      <c r="AB9" s="82"/>
    </row>
    <row r="10" spans="1:28" ht="30" customHeight="1">
      <c r="A10" s="10" t="s">
        <v>59</v>
      </c>
      <c r="B10" s="3">
        <f aca="true" t="shared" si="0" ref="B10:AB10">SUM(B11:B25)</f>
        <v>95942</v>
      </c>
      <c r="C10" s="3">
        <f t="shared" si="0"/>
        <v>42361</v>
      </c>
      <c r="D10" s="3">
        <f t="shared" si="0"/>
        <v>0</v>
      </c>
      <c r="E10" s="3">
        <f t="shared" si="0"/>
        <v>0</v>
      </c>
      <c r="F10" s="3">
        <f t="shared" si="0"/>
        <v>0</v>
      </c>
      <c r="G10" s="3">
        <f t="shared" si="0"/>
        <v>11915</v>
      </c>
      <c r="H10" s="3">
        <f t="shared" si="0"/>
        <v>0</v>
      </c>
      <c r="I10" s="3">
        <f t="shared" si="0"/>
        <v>0</v>
      </c>
      <c r="J10" s="3">
        <f t="shared" si="0"/>
        <v>150218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3">
        <f t="shared" si="0"/>
        <v>0</v>
      </c>
      <c r="Q10" s="3">
        <f t="shared" si="0"/>
        <v>0</v>
      </c>
      <c r="R10" s="3">
        <f t="shared" si="0"/>
        <v>0</v>
      </c>
      <c r="S10" s="3">
        <f t="shared" si="0"/>
        <v>0</v>
      </c>
      <c r="T10" s="3">
        <f t="shared" si="0"/>
        <v>0</v>
      </c>
      <c r="U10" s="3">
        <f t="shared" si="0"/>
        <v>1086</v>
      </c>
      <c r="V10" s="3">
        <f t="shared" si="0"/>
        <v>0</v>
      </c>
      <c r="W10" s="3">
        <f t="shared" si="0"/>
        <v>0</v>
      </c>
      <c r="X10" s="3">
        <f>SUM(X11:X25)</f>
        <v>0</v>
      </c>
      <c r="Y10" s="3">
        <f t="shared" si="0"/>
        <v>1918</v>
      </c>
      <c r="Z10" s="3">
        <f t="shared" si="0"/>
        <v>0</v>
      </c>
      <c r="AA10" s="3">
        <f t="shared" si="0"/>
        <v>3004</v>
      </c>
      <c r="AB10" s="5">
        <f t="shared" si="0"/>
        <v>153222</v>
      </c>
    </row>
    <row r="11" spans="1:28" ht="30" customHeight="1">
      <c r="A11" s="10" t="s">
        <v>60</v>
      </c>
      <c r="B11" s="3">
        <v>81354</v>
      </c>
      <c r="C11" s="3">
        <v>33684</v>
      </c>
      <c r="D11" s="3"/>
      <c r="E11" s="3"/>
      <c r="F11" s="3"/>
      <c r="G11" s="3">
        <v>11264</v>
      </c>
      <c r="H11" s="3"/>
      <c r="I11" s="3"/>
      <c r="J11" s="3">
        <f aca="true" t="shared" si="1" ref="J11:J25">SUM(B11:I11)</f>
        <v>126302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>
        <v>1354</v>
      </c>
      <c r="Z11" s="3"/>
      <c r="AA11" s="3">
        <f>SUM(K11:Z11)</f>
        <v>1354</v>
      </c>
      <c r="AB11" s="4">
        <f aca="true" t="shared" si="2" ref="AB11:AB25">SUM(J11,AA11)</f>
        <v>127656</v>
      </c>
    </row>
    <row r="12" spans="1:28" ht="30" customHeight="1">
      <c r="A12" s="12" t="s">
        <v>61</v>
      </c>
      <c r="B12" s="3"/>
      <c r="C12" s="3"/>
      <c r="D12" s="3"/>
      <c r="E12" s="3"/>
      <c r="F12" s="3"/>
      <c r="G12" s="3"/>
      <c r="H12" s="3"/>
      <c r="I12" s="3"/>
      <c r="J12" s="3">
        <f t="shared" si="1"/>
        <v>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aca="true" t="shared" si="3" ref="AA12:AA25">SUM(K12:Z12)</f>
        <v>0</v>
      </c>
      <c r="AB12" s="4">
        <f t="shared" si="2"/>
        <v>0</v>
      </c>
    </row>
    <row r="13" spans="1:28" ht="30" customHeight="1">
      <c r="A13" s="10" t="s">
        <v>62</v>
      </c>
      <c r="B13" s="3"/>
      <c r="C13" s="3"/>
      <c r="D13" s="3"/>
      <c r="E13" s="3"/>
      <c r="F13" s="3"/>
      <c r="G13" s="3"/>
      <c r="H13" s="3"/>
      <c r="I13" s="3"/>
      <c r="J13" s="3">
        <f t="shared" si="1"/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 t="shared" si="3"/>
        <v>0</v>
      </c>
      <c r="AB13" s="4">
        <f t="shared" si="2"/>
        <v>0</v>
      </c>
    </row>
    <row r="14" spans="1:28" ht="30" customHeight="1">
      <c r="A14" s="10" t="s">
        <v>63</v>
      </c>
      <c r="B14" s="3"/>
      <c r="C14" s="3"/>
      <c r="D14" s="3"/>
      <c r="E14" s="3"/>
      <c r="F14" s="3"/>
      <c r="G14" s="3"/>
      <c r="H14" s="3"/>
      <c r="I14" s="3"/>
      <c r="J14" s="3">
        <f t="shared" si="1"/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 t="shared" si="3"/>
        <v>0</v>
      </c>
      <c r="AB14" s="4">
        <f t="shared" si="2"/>
        <v>0</v>
      </c>
    </row>
    <row r="15" spans="1:28" ht="30" customHeight="1">
      <c r="A15" s="10" t="s">
        <v>64</v>
      </c>
      <c r="B15" s="3"/>
      <c r="C15" s="3"/>
      <c r="D15" s="3"/>
      <c r="E15" s="3"/>
      <c r="F15" s="3"/>
      <c r="G15" s="3"/>
      <c r="H15" s="3"/>
      <c r="I15" s="3"/>
      <c r="J15" s="3">
        <f t="shared" si="1"/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>
        <f t="shared" si="3"/>
        <v>0</v>
      </c>
      <c r="AB15" s="4">
        <f t="shared" si="2"/>
        <v>0</v>
      </c>
    </row>
    <row r="16" spans="1:28" ht="30" customHeight="1">
      <c r="A16" s="10" t="s">
        <v>65</v>
      </c>
      <c r="B16" s="3">
        <v>12077</v>
      </c>
      <c r="C16" s="3"/>
      <c r="D16" s="3"/>
      <c r="E16" s="3"/>
      <c r="F16" s="3"/>
      <c r="G16" s="93">
        <f>93-1</f>
        <v>92</v>
      </c>
      <c r="H16" s="3"/>
      <c r="I16" s="3"/>
      <c r="J16" s="3">
        <f t="shared" si="1"/>
        <v>12169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>
        <f t="shared" si="3"/>
        <v>0</v>
      </c>
      <c r="AB16" s="4">
        <f t="shared" si="2"/>
        <v>12169</v>
      </c>
    </row>
    <row r="17" spans="1:28" ht="30" customHeight="1">
      <c r="A17" s="10" t="s">
        <v>66</v>
      </c>
      <c r="B17" s="3"/>
      <c r="C17" s="3"/>
      <c r="D17" s="3"/>
      <c r="E17" s="3"/>
      <c r="F17" s="3"/>
      <c r="G17" s="3"/>
      <c r="H17" s="3"/>
      <c r="I17" s="3"/>
      <c r="J17" s="3">
        <f t="shared" si="1"/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>
        <f t="shared" si="3"/>
        <v>0</v>
      </c>
      <c r="AB17" s="4">
        <f t="shared" si="2"/>
        <v>0</v>
      </c>
    </row>
    <row r="18" spans="1:28" ht="30" customHeight="1">
      <c r="A18" s="12" t="s">
        <v>67</v>
      </c>
      <c r="B18" s="3">
        <v>693</v>
      </c>
      <c r="C18" s="3">
        <v>8677</v>
      </c>
      <c r="D18" s="3"/>
      <c r="E18" s="3"/>
      <c r="F18" s="3"/>
      <c r="G18" s="3">
        <v>559</v>
      </c>
      <c r="H18" s="3"/>
      <c r="I18" s="3"/>
      <c r="J18" s="3">
        <f t="shared" si="1"/>
        <v>9929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v>1086</v>
      </c>
      <c r="V18" s="3"/>
      <c r="W18" s="3"/>
      <c r="X18" s="3"/>
      <c r="Y18" s="3">
        <v>564</v>
      </c>
      <c r="Z18" s="3"/>
      <c r="AA18" s="3">
        <f t="shared" si="3"/>
        <v>1650</v>
      </c>
      <c r="AB18" s="4">
        <f t="shared" si="2"/>
        <v>11579</v>
      </c>
    </row>
    <row r="19" spans="1:28" ht="30" customHeight="1">
      <c r="A19" s="12" t="s">
        <v>68</v>
      </c>
      <c r="B19" s="3"/>
      <c r="C19" s="3"/>
      <c r="D19" s="3"/>
      <c r="E19" s="3"/>
      <c r="F19" s="3"/>
      <c r="G19" s="3"/>
      <c r="H19" s="3"/>
      <c r="I19" s="3"/>
      <c r="J19" s="3">
        <f t="shared" si="1"/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3"/>
        <v>0</v>
      </c>
      <c r="AB19" s="4">
        <f t="shared" si="2"/>
        <v>0</v>
      </c>
    </row>
    <row r="20" spans="1:28" ht="30" customHeight="1">
      <c r="A20" s="10" t="s">
        <v>69</v>
      </c>
      <c r="B20" s="3"/>
      <c r="C20" s="3"/>
      <c r="D20" s="3"/>
      <c r="E20" s="3"/>
      <c r="F20" s="3"/>
      <c r="G20" s="3"/>
      <c r="H20" s="3"/>
      <c r="I20" s="3"/>
      <c r="J20" s="3">
        <f t="shared" si="1"/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3"/>
        <v>0</v>
      </c>
      <c r="AB20" s="4">
        <f t="shared" si="2"/>
        <v>0</v>
      </c>
    </row>
    <row r="21" spans="1:28" ht="30" customHeight="1">
      <c r="A21" s="12" t="s">
        <v>70</v>
      </c>
      <c r="B21" s="3"/>
      <c r="C21" s="3"/>
      <c r="D21" s="3"/>
      <c r="E21" s="3"/>
      <c r="F21" s="3"/>
      <c r="G21" s="3"/>
      <c r="H21" s="3"/>
      <c r="I21" s="3"/>
      <c r="J21" s="3">
        <f t="shared" si="1"/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3"/>
        <v>0</v>
      </c>
      <c r="AB21" s="4">
        <f t="shared" si="2"/>
        <v>0</v>
      </c>
    </row>
    <row r="22" spans="1:28" ht="30" customHeight="1">
      <c r="A22" s="10" t="s">
        <v>71</v>
      </c>
      <c r="B22" s="3"/>
      <c r="C22" s="3"/>
      <c r="D22" s="3"/>
      <c r="E22" s="3"/>
      <c r="F22" s="3"/>
      <c r="G22" s="3"/>
      <c r="H22" s="3"/>
      <c r="I22" s="3"/>
      <c r="J22" s="3">
        <f t="shared" si="1"/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>
        <f t="shared" si="3"/>
        <v>0</v>
      </c>
      <c r="AB22" s="4">
        <f t="shared" si="2"/>
        <v>0</v>
      </c>
    </row>
    <row r="23" spans="1:28" ht="30" customHeight="1">
      <c r="A23" s="10" t="s">
        <v>72</v>
      </c>
      <c r="B23" s="3"/>
      <c r="C23" s="3"/>
      <c r="D23" s="3"/>
      <c r="E23" s="3"/>
      <c r="F23" s="3"/>
      <c r="G23" s="3"/>
      <c r="H23" s="3"/>
      <c r="I23" s="3"/>
      <c r="J23" s="3">
        <f t="shared" si="1"/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>
        <f t="shared" si="3"/>
        <v>0</v>
      </c>
      <c r="AB23" s="4">
        <f t="shared" si="2"/>
        <v>0</v>
      </c>
    </row>
    <row r="24" spans="1:28" ht="30" customHeight="1">
      <c r="A24" s="66" t="s">
        <v>185</v>
      </c>
      <c r="B24" s="3"/>
      <c r="C24" s="3"/>
      <c r="D24" s="3"/>
      <c r="E24" s="3"/>
      <c r="F24" s="3"/>
      <c r="G24" s="3"/>
      <c r="H24" s="3"/>
      <c r="I24" s="3"/>
      <c r="J24" s="3">
        <f>SUM(B24:I24)</f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>
        <f>SUM(K24:Z24)</f>
        <v>0</v>
      </c>
      <c r="AB24" s="4">
        <f t="shared" si="2"/>
        <v>0</v>
      </c>
    </row>
    <row r="25" spans="1:28" ht="30" customHeight="1">
      <c r="A25" s="12" t="s">
        <v>99</v>
      </c>
      <c r="B25" s="3">
        <v>1818</v>
      </c>
      <c r="C25" s="3"/>
      <c r="D25" s="3"/>
      <c r="E25" s="3"/>
      <c r="F25" s="3"/>
      <c r="G25" s="3"/>
      <c r="H25" s="3"/>
      <c r="I25" s="3"/>
      <c r="J25" s="3">
        <f t="shared" si="1"/>
        <v>1818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>
        <f t="shared" si="3"/>
        <v>0</v>
      </c>
      <c r="AB25" s="4">
        <f t="shared" si="2"/>
        <v>1818</v>
      </c>
    </row>
    <row r="26" spans="1:27" ht="48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8" ht="30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85"/>
    </row>
  </sheetData>
  <mergeCells count="1">
    <mergeCell ref="X6:X9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27"/>
  <sheetViews>
    <sheetView zoomScale="75" zoomScaleNormal="75" workbookViewId="0" topLeftCell="A5">
      <pane xSplit="1" ySplit="6" topLeftCell="Q11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ColWidth="9.00390625" defaultRowHeight="15.75"/>
  <cols>
    <col min="1" max="1" width="27.375" style="0" customWidth="1"/>
    <col min="2" max="2" width="10.125" style="83" customWidth="1"/>
    <col min="3" max="3" width="10.00390625" style="83" customWidth="1"/>
    <col min="4" max="4" width="11.00390625" style="83" bestFit="1" customWidth="1"/>
    <col min="5" max="6" width="9.00390625" style="83" customWidth="1"/>
    <col min="7" max="7" width="11.00390625" style="83" customWidth="1"/>
    <col min="8" max="8" width="11.50390625" style="83" customWidth="1"/>
    <col min="9" max="9" width="9.00390625" style="83" customWidth="1"/>
    <col min="10" max="10" width="11.50390625" style="83" customWidth="1"/>
    <col min="11" max="12" width="9.875" style="83" customWidth="1"/>
    <col min="13" max="13" width="10.125" style="83" customWidth="1"/>
    <col min="14" max="14" width="11.00390625" style="83" customWidth="1"/>
    <col min="15" max="15" width="11.875" style="83" customWidth="1"/>
    <col min="16" max="16" width="10.625" style="83" customWidth="1"/>
    <col min="17" max="17" width="11.25390625" style="83" customWidth="1"/>
    <col min="18" max="18" width="11.50390625" style="83" customWidth="1"/>
    <col min="19" max="22" width="9.00390625" style="83" customWidth="1"/>
    <col min="23" max="23" width="9.25390625" style="83" bestFit="1" customWidth="1"/>
    <col min="24" max="26" width="9.00390625" style="83" customWidth="1"/>
    <col min="27" max="27" width="10.375" style="83" customWidth="1"/>
    <col min="28" max="28" width="12.25390625" style="83" customWidth="1"/>
  </cols>
  <sheetData>
    <row r="1" spans="5:28" ht="21">
      <c r="E1" s="2"/>
      <c r="F1" s="15" t="s">
        <v>95</v>
      </c>
      <c r="G1" s="16" t="s">
        <v>96</v>
      </c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15" t="s">
        <v>95</v>
      </c>
      <c r="T1" s="16" t="s">
        <v>96</v>
      </c>
      <c r="U1" s="68"/>
      <c r="V1" s="68"/>
      <c r="W1" s="68"/>
      <c r="X1" s="68"/>
      <c r="Y1" s="68"/>
      <c r="Z1" s="68"/>
      <c r="AA1" s="68"/>
      <c r="AB1" s="68"/>
    </row>
    <row r="2" spans="2:28" ht="27.75">
      <c r="B2" s="68"/>
      <c r="C2" s="68"/>
      <c r="D2" s="1"/>
      <c r="E2" s="1"/>
      <c r="F2" s="17" t="s">
        <v>97</v>
      </c>
      <c r="G2" s="18" t="s">
        <v>98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17" t="s">
        <v>97</v>
      </c>
      <c r="T2" s="18" t="s">
        <v>98</v>
      </c>
      <c r="U2" s="68"/>
      <c r="V2" s="68"/>
      <c r="W2" s="68"/>
      <c r="X2" s="68"/>
      <c r="Y2" s="68"/>
      <c r="Z2" s="68"/>
      <c r="AA2" s="68"/>
      <c r="AB2" s="68"/>
    </row>
    <row r="3" spans="2:28" ht="16.5">
      <c r="B3" s="68"/>
      <c r="C3" s="68"/>
      <c r="D3" s="68"/>
      <c r="E3" s="68"/>
      <c r="F3" s="19" t="s">
        <v>126</v>
      </c>
      <c r="G3" s="35" t="s">
        <v>127</v>
      </c>
      <c r="H3" s="68"/>
      <c r="I3" s="68"/>
      <c r="J3" s="68"/>
      <c r="K3" s="68"/>
      <c r="L3" s="68"/>
      <c r="M3" s="20" t="s">
        <v>0</v>
      </c>
      <c r="N3" s="68"/>
      <c r="O3" s="68"/>
      <c r="P3" s="68"/>
      <c r="Q3" s="68"/>
      <c r="R3" s="68"/>
      <c r="S3" s="19" t="s">
        <v>126</v>
      </c>
      <c r="T3" s="35" t="s">
        <v>127</v>
      </c>
      <c r="U3" s="68"/>
      <c r="V3" s="68"/>
      <c r="W3" s="68"/>
      <c r="X3" s="68"/>
      <c r="Y3" s="68"/>
      <c r="Z3" s="68"/>
      <c r="AA3" s="68"/>
      <c r="AB3" s="20" t="s">
        <v>0</v>
      </c>
    </row>
    <row r="4" spans="1:28" ht="30" customHeight="1">
      <c r="A4" s="21" t="s">
        <v>1</v>
      </c>
      <c r="B4" s="22" t="s">
        <v>186</v>
      </c>
      <c r="C4" s="69"/>
      <c r="D4" s="69"/>
      <c r="E4" s="69"/>
      <c r="F4" s="69"/>
      <c r="G4" s="69"/>
      <c r="H4" s="69"/>
      <c r="I4" s="69"/>
      <c r="J4" s="70"/>
      <c r="K4" s="23" t="s">
        <v>187</v>
      </c>
      <c r="L4" s="71"/>
      <c r="M4" s="71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3"/>
      <c r="AB4" s="74"/>
    </row>
    <row r="5" spans="1:28" s="9" customFormat="1" ht="25.5" customHeight="1">
      <c r="A5" s="24" t="s">
        <v>3</v>
      </c>
      <c r="B5" s="25" t="s">
        <v>4</v>
      </c>
      <c r="C5" s="25" t="s">
        <v>5</v>
      </c>
      <c r="D5" s="25" t="s">
        <v>6</v>
      </c>
      <c r="E5" s="25" t="s">
        <v>7</v>
      </c>
      <c r="F5" s="26" t="s">
        <v>188</v>
      </c>
      <c r="G5" s="75"/>
      <c r="H5" s="75"/>
      <c r="I5" s="76"/>
      <c r="J5" s="44" t="s">
        <v>112</v>
      </c>
      <c r="K5" s="26" t="s">
        <v>189</v>
      </c>
      <c r="L5" s="75"/>
      <c r="M5" s="76"/>
      <c r="N5" s="26" t="s">
        <v>190</v>
      </c>
      <c r="O5" s="75"/>
      <c r="P5" s="75"/>
      <c r="Q5" s="76"/>
      <c r="R5" s="25" t="s">
        <v>11</v>
      </c>
      <c r="S5" s="25" t="s">
        <v>12</v>
      </c>
      <c r="T5" s="26" t="s">
        <v>191</v>
      </c>
      <c r="U5" s="75"/>
      <c r="V5" s="75"/>
      <c r="W5" s="75"/>
      <c r="X5" s="75"/>
      <c r="Y5" s="75"/>
      <c r="Z5" s="77"/>
      <c r="AA5" s="25" t="s">
        <v>13</v>
      </c>
      <c r="AB5" s="27" t="s">
        <v>14</v>
      </c>
    </row>
    <row r="6" spans="1:28" ht="16.5">
      <c r="A6" s="10"/>
      <c r="B6" s="80"/>
      <c r="C6" s="28" t="s">
        <v>15</v>
      </c>
      <c r="D6" s="28" t="s">
        <v>16</v>
      </c>
      <c r="E6" s="28" t="s">
        <v>192</v>
      </c>
      <c r="F6" s="80"/>
      <c r="G6" s="80"/>
      <c r="H6" s="80"/>
      <c r="I6" s="80"/>
      <c r="J6" s="28" t="s">
        <v>193</v>
      </c>
      <c r="K6" s="80"/>
      <c r="L6" s="43" t="s">
        <v>194</v>
      </c>
      <c r="M6" s="43" t="s">
        <v>195</v>
      </c>
      <c r="N6" s="80" t="s">
        <v>17</v>
      </c>
      <c r="O6" s="80"/>
      <c r="P6" s="80"/>
      <c r="Q6" s="80"/>
      <c r="R6" s="28" t="s">
        <v>18</v>
      </c>
      <c r="S6" s="28" t="s">
        <v>196</v>
      </c>
      <c r="T6" s="80" t="s">
        <v>17</v>
      </c>
      <c r="U6" s="80" t="s">
        <v>17</v>
      </c>
      <c r="V6" s="80"/>
      <c r="W6" s="80"/>
      <c r="X6" s="107" t="s">
        <v>183</v>
      </c>
      <c r="Y6" s="80"/>
      <c r="Z6" s="80"/>
      <c r="AA6" s="28" t="s">
        <v>197</v>
      </c>
      <c r="AB6" s="81"/>
    </row>
    <row r="7" spans="1:28" ht="16.5">
      <c r="A7" s="10"/>
      <c r="B7" s="28" t="s">
        <v>19</v>
      </c>
      <c r="C7" s="28" t="s">
        <v>198</v>
      </c>
      <c r="D7" s="80"/>
      <c r="E7" s="80" t="s">
        <v>17</v>
      </c>
      <c r="F7" s="28" t="s">
        <v>20</v>
      </c>
      <c r="G7" s="28" t="s">
        <v>21</v>
      </c>
      <c r="H7" s="28" t="s">
        <v>20</v>
      </c>
      <c r="I7" s="28" t="s">
        <v>20</v>
      </c>
      <c r="J7" s="80"/>
      <c r="K7" s="28" t="s">
        <v>22</v>
      </c>
      <c r="L7" s="28" t="s">
        <v>199</v>
      </c>
      <c r="M7" s="28" t="s">
        <v>23</v>
      </c>
      <c r="N7" s="28" t="s">
        <v>20</v>
      </c>
      <c r="O7" s="28" t="s">
        <v>21</v>
      </c>
      <c r="P7" s="28" t="s">
        <v>20</v>
      </c>
      <c r="Q7" s="28" t="s">
        <v>20</v>
      </c>
      <c r="R7" s="80"/>
      <c r="S7" s="80"/>
      <c r="T7" s="28" t="s">
        <v>24</v>
      </c>
      <c r="U7" s="28" t="s">
        <v>25</v>
      </c>
      <c r="V7" s="28" t="s">
        <v>26</v>
      </c>
      <c r="W7" s="28" t="s">
        <v>27</v>
      </c>
      <c r="X7" s="108"/>
      <c r="Y7" s="28" t="s">
        <v>28</v>
      </c>
      <c r="Z7" s="28" t="s">
        <v>29</v>
      </c>
      <c r="AA7" s="80"/>
      <c r="AB7" s="81"/>
    </row>
    <row r="8" spans="1:28" ht="16.5">
      <c r="A8" s="29" t="s">
        <v>30</v>
      </c>
      <c r="B8" s="80"/>
      <c r="C8" s="28" t="s">
        <v>31</v>
      </c>
      <c r="D8" s="28" t="s">
        <v>32</v>
      </c>
      <c r="E8" s="28" t="s">
        <v>200</v>
      </c>
      <c r="F8" s="28" t="s">
        <v>33</v>
      </c>
      <c r="G8" s="28" t="s">
        <v>34</v>
      </c>
      <c r="H8" s="28" t="s">
        <v>35</v>
      </c>
      <c r="I8" s="28" t="s">
        <v>36</v>
      </c>
      <c r="J8" s="28" t="s">
        <v>201</v>
      </c>
      <c r="K8" s="80"/>
      <c r="L8" s="28" t="s">
        <v>202</v>
      </c>
      <c r="M8" s="80"/>
      <c r="N8" s="28" t="s">
        <v>33</v>
      </c>
      <c r="O8" s="28" t="s">
        <v>34</v>
      </c>
      <c r="P8" s="28" t="s">
        <v>35</v>
      </c>
      <c r="Q8" s="28" t="s">
        <v>36</v>
      </c>
      <c r="R8" s="28" t="s">
        <v>37</v>
      </c>
      <c r="S8" s="28" t="s">
        <v>203</v>
      </c>
      <c r="T8" s="80"/>
      <c r="U8" s="28" t="s">
        <v>24</v>
      </c>
      <c r="V8" s="80"/>
      <c r="W8" s="80"/>
      <c r="X8" s="108"/>
      <c r="Y8" s="28" t="s">
        <v>38</v>
      </c>
      <c r="Z8" s="80"/>
      <c r="AA8" s="28" t="s">
        <v>201</v>
      </c>
      <c r="AB8" s="30" t="s">
        <v>39</v>
      </c>
    </row>
    <row r="9" spans="1:28" ht="16.5">
      <c r="A9" s="31" t="s">
        <v>3</v>
      </c>
      <c r="B9" s="32" t="s">
        <v>40</v>
      </c>
      <c r="C9" s="32" t="s">
        <v>41</v>
      </c>
      <c r="D9" s="32" t="s">
        <v>42</v>
      </c>
      <c r="E9" s="32" t="s">
        <v>43</v>
      </c>
      <c r="F9" s="32" t="s">
        <v>44</v>
      </c>
      <c r="G9" s="32" t="s">
        <v>45</v>
      </c>
      <c r="H9" s="32" t="s">
        <v>46</v>
      </c>
      <c r="I9" s="32" t="s">
        <v>47</v>
      </c>
      <c r="J9" s="32" t="s">
        <v>48</v>
      </c>
      <c r="K9" s="32" t="s">
        <v>49</v>
      </c>
      <c r="L9" s="32" t="s">
        <v>204</v>
      </c>
      <c r="M9" s="32" t="s">
        <v>51</v>
      </c>
      <c r="N9" s="32" t="s">
        <v>44</v>
      </c>
      <c r="O9" s="32" t="s">
        <v>205</v>
      </c>
      <c r="P9" s="32" t="s">
        <v>46</v>
      </c>
      <c r="Q9" s="32" t="s">
        <v>47</v>
      </c>
      <c r="R9" s="32" t="s">
        <v>52</v>
      </c>
      <c r="S9" s="32" t="s">
        <v>53</v>
      </c>
      <c r="T9" s="32" t="s">
        <v>54</v>
      </c>
      <c r="U9" s="32" t="s">
        <v>54</v>
      </c>
      <c r="V9" s="32" t="s">
        <v>55</v>
      </c>
      <c r="W9" s="32" t="s">
        <v>56</v>
      </c>
      <c r="X9" s="109"/>
      <c r="Y9" s="32" t="s">
        <v>57</v>
      </c>
      <c r="Z9" s="32" t="s">
        <v>58</v>
      </c>
      <c r="AA9" s="32" t="s">
        <v>48</v>
      </c>
      <c r="AB9" s="82"/>
    </row>
    <row r="10" spans="1:28" ht="30" customHeight="1">
      <c r="A10" s="10" t="s">
        <v>59</v>
      </c>
      <c r="B10" s="3">
        <f aca="true" t="shared" si="0" ref="B10:AB10">SUM(B11:B25)</f>
        <v>414936</v>
      </c>
      <c r="C10" s="3">
        <f t="shared" si="0"/>
        <v>696392</v>
      </c>
      <c r="D10" s="3">
        <f t="shared" si="0"/>
        <v>0</v>
      </c>
      <c r="E10" s="3">
        <f t="shared" si="0"/>
        <v>0</v>
      </c>
      <c r="F10" s="3">
        <f t="shared" si="0"/>
        <v>0</v>
      </c>
      <c r="G10" s="3">
        <f t="shared" si="0"/>
        <v>110145</v>
      </c>
      <c r="H10" s="3">
        <f t="shared" si="0"/>
        <v>0</v>
      </c>
      <c r="I10" s="3">
        <f t="shared" si="0"/>
        <v>106045</v>
      </c>
      <c r="J10" s="3">
        <f t="shared" si="0"/>
        <v>1327518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550</v>
      </c>
      <c r="P10" s="3">
        <f t="shared" si="0"/>
        <v>0</v>
      </c>
      <c r="Q10" s="3">
        <f t="shared" si="0"/>
        <v>16033</v>
      </c>
      <c r="R10" s="3">
        <f t="shared" si="0"/>
        <v>0</v>
      </c>
      <c r="S10" s="3">
        <f t="shared" si="0"/>
        <v>0</v>
      </c>
      <c r="T10" s="3">
        <f t="shared" si="0"/>
        <v>0</v>
      </c>
      <c r="U10" s="3">
        <f t="shared" si="0"/>
        <v>3284</v>
      </c>
      <c r="V10" s="3">
        <f t="shared" si="0"/>
        <v>0</v>
      </c>
      <c r="W10" s="3">
        <f t="shared" si="0"/>
        <v>0</v>
      </c>
      <c r="X10" s="3">
        <f>SUM(X11:X25)</f>
        <v>4506</v>
      </c>
      <c r="Y10" s="3">
        <f t="shared" si="0"/>
        <v>12697</v>
      </c>
      <c r="Z10" s="3">
        <f t="shared" si="0"/>
        <v>0</v>
      </c>
      <c r="AA10" s="3">
        <f t="shared" si="0"/>
        <v>37070</v>
      </c>
      <c r="AB10" s="5">
        <f t="shared" si="0"/>
        <v>1364588</v>
      </c>
    </row>
    <row r="11" spans="1:28" ht="30" customHeight="1">
      <c r="A11" s="10" t="s">
        <v>60</v>
      </c>
      <c r="B11" s="3">
        <v>344721</v>
      </c>
      <c r="C11" s="3">
        <v>539170</v>
      </c>
      <c r="D11" s="3"/>
      <c r="E11" s="3"/>
      <c r="F11" s="3"/>
      <c r="G11" s="3">
        <v>68907</v>
      </c>
      <c r="H11" s="3"/>
      <c r="I11" s="3">
        <v>68249</v>
      </c>
      <c r="J11" s="3">
        <f aca="true" t="shared" si="1" ref="J11:J25">SUM(B11:I11)</f>
        <v>1021047</v>
      </c>
      <c r="K11" s="3"/>
      <c r="L11" s="3"/>
      <c r="M11" s="3"/>
      <c r="N11" s="3"/>
      <c r="O11" s="3">
        <v>550</v>
      </c>
      <c r="P11" s="3"/>
      <c r="Q11" s="3">
        <v>5119</v>
      </c>
      <c r="R11" s="3"/>
      <c r="S11" s="3"/>
      <c r="T11" s="3"/>
      <c r="U11" s="3">
        <v>3284</v>
      </c>
      <c r="V11" s="3"/>
      <c r="W11" s="3"/>
      <c r="X11" s="3">
        <v>4302</v>
      </c>
      <c r="Y11" s="3">
        <v>9466</v>
      </c>
      <c r="Z11" s="3"/>
      <c r="AA11" s="3">
        <f>SUM(K11:Z11)</f>
        <v>22721</v>
      </c>
      <c r="AB11" s="4">
        <f aca="true" t="shared" si="2" ref="AB11:AB25">SUM(J11,AA11)</f>
        <v>1043768</v>
      </c>
    </row>
    <row r="12" spans="1:28" ht="30" customHeight="1">
      <c r="A12" s="12" t="s">
        <v>61</v>
      </c>
      <c r="B12" s="3"/>
      <c r="C12" s="3"/>
      <c r="D12" s="3"/>
      <c r="E12" s="3"/>
      <c r="F12" s="3"/>
      <c r="G12" s="3"/>
      <c r="H12" s="3"/>
      <c r="I12" s="3"/>
      <c r="J12" s="3">
        <f t="shared" si="1"/>
        <v>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aca="true" t="shared" si="3" ref="AA12:AA25">SUM(K12:Z12)</f>
        <v>0</v>
      </c>
      <c r="AB12" s="4">
        <f t="shared" si="2"/>
        <v>0</v>
      </c>
    </row>
    <row r="13" spans="1:28" ht="30" customHeight="1">
      <c r="A13" s="10" t="s">
        <v>62</v>
      </c>
      <c r="B13" s="3"/>
      <c r="C13" s="3"/>
      <c r="D13" s="3"/>
      <c r="E13" s="3"/>
      <c r="F13" s="3"/>
      <c r="G13" s="3"/>
      <c r="H13" s="3"/>
      <c r="I13" s="3"/>
      <c r="J13" s="3">
        <f t="shared" si="1"/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 t="shared" si="3"/>
        <v>0</v>
      </c>
      <c r="AB13" s="4">
        <f t="shared" si="2"/>
        <v>0</v>
      </c>
    </row>
    <row r="14" spans="1:28" ht="30" customHeight="1">
      <c r="A14" s="10" t="s">
        <v>63</v>
      </c>
      <c r="B14" s="3">
        <v>3291</v>
      </c>
      <c r="C14" s="3">
        <v>157222</v>
      </c>
      <c r="D14" s="3"/>
      <c r="E14" s="3"/>
      <c r="F14" s="3"/>
      <c r="G14" s="3">
        <v>40962</v>
      </c>
      <c r="H14" s="3"/>
      <c r="I14" s="3">
        <v>37796</v>
      </c>
      <c r="J14" s="3">
        <f t="shared" si="1"/>
        <v>239271</v>
      </c>
      <c r="K14" s="3"/>
      <c r="L14" s="3"/>
      <c r="M14" s="3"/>
      <c r="N14" s="3"/>
      <c r="O14" s="3"/>
      <c r="P14" s="3"/>
      <c r="Q14" s="3">
        <v>10914</v>
      </c>
      <c r="R14" s="3"/>
      <c r="S14" s="3"/>
      <c r="T14" s="3"/>
      <c r="U14" s="3"/>
      <c r="V14" s="3"/>
      <c r="W14" s="3"/>
      <c r="X14" s="3">
        <v>204</v>
      </c>
      <c r="Y14" s="3">
        <v>3231</v>
      </c>
      <c r="Z14" s="3"/>
      <c r="AA14" s="3">
        <f t="shared" si="3"/>
        <v>14349</v>
      </c>
      <c r="AB14" s="4">
        <f t="shared" si="2"/>
        <v>253620</v>
      </c>
    </row>
    <row r="15" spans="1:28" ht="30" customHeight="1">
      <c r="A15" s="10" t="s">
        <v>64</v>
      </c>
      <c r="B15" s="3"/>
      <c r="C15" s="3"/>
      <c r="D15" s="3"/>
      <c r="E15" s="3"/>
      <c r="F15" s="3"/>
      <c r="G15" s="3"/>
      <c r="H15" s="3"/>
      <c r="I15" s="3"/>
      <c r="J15" s="3">
        <f t="shared" si="1"/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>
        <f t="shared" si="3"/>
        <v>0</v>
      </c>
      <c r="AB15" s="4">
        <f t="shared" si="2"/>
        <v>0</v>
      </c>
    </row>
    <row r="16" spans="1:28" ht="30" customHeight="1">
      <c r="A16" s="10" t="s">
        <v>65</v>
      </c>
      <c r="B16" s="3">
        <v>62564</v>
      </c>
      <c r="C16" s="3"/>
      <c r="D16" s="3"/>
      <c r="E16" s="3"/>
      <c r="F16" s="3"/>
      <c r="G16" s="3">
        <v>276</v>
      </c>
      <c r="H16" s="3"/>
      <c r="I16" s="3"/>
      <c r="J16" s="3">
        <f t="shared" si="1"/>
        <v>62840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>
        <f t="shared" si="3"/>
        <v>0</v>
      </c>
      <c r="AB16" s="4">
        <f t="shared" si="2"/>
        <v>62840</v>
      </c>
    </row>
    <row r="17" spans="1:28" ht="30" customHeight="1">
      <c r="A17" s="10" t="s">
        <v>66</v>
      </c>
      <c r="B17" s="3"/>
      <c r="C17" s="3"/>
      <c r="D17" s="3"/>
      <c r="E17" s="3"/>
      <c r="F17" s="3"/>
      <c r="G17" s="3"/>
      <c r="H17" s="3"/>
      <c r="I17" s="3"/>
      <c r="J17" s="3">
        <f t="shared" si="1"/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>
        <f t="shared" si="3"/>
        <v>0</v>
      </c>
      <c r="AB17" s="4">
        <f t="shared" si="2"/>
        <v>0</v>
      </c>
    </row>
    <row r="18" spans="1:28" ht="30" customHeight="1">
      <c r="A18" s="12" t="s">
        <v>67</v>
      </c>
      <c r="B18" s="3"/>
      <c r="C18" s="3"/>
      <c r="D18" s="3"/>
      <c r="E18" s="3"/>
      <c r="F18" s="3"/>
      <c r="G18" s="3"/>
      <c r="H18" s="3"/>
      <c r="I18" s="3"/>
      <c r="J18" s="3">
        <f t="shared" si="1"/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3"/>
        <v>0</v>
      </c>
      <c r="AB18" s="4">
        <f t="shared" si="2"/>
        <v>0</v>
      </c>
    </row>
    <row r="19" spans="1:28" ht="30" customHeight="1">
      <c r="A19" s="12" t="s">
        <v>68</v>
      </c>
      <c r="B19" s="3"/>
      <c r="C19" s="3"/>
      <c r="D19" s="3"/>
      <c r="E19" s="3"/>
      <c r="F19" s="3"/>
      <c r="G19" s="3"/>
      <c r="H19" s="3"/>
      <c r="I19" s="3"/>
      <c r="J19" s="3">
        <f t="shared" si="1"/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3"/>
        <v>0</v>
      </c>
      <c r="AB19" s="4">
        <f t="shared" si="2"/>
        <v>0</v>
      </c>
    </row>
    <row r="20" spans="1:28" ht="30" customHeight="1">
      <c r="A20" s="10" t="s">
        <v>69</v>
      </c>
      <c r="B20" s="3"/>
      <c r="C20" s="3"/>
      <c r="D20" s="3"/>
      <c r="E20" s="3"/>
      <c r="F20" s="3"/>
      <c r="G20" s="3"/>
      <c r="H20" s="3"/>
      <c r="I20" s="3"/>
      <c r="J20" s="3">
        <f t="shared" si="1"/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3"/>
        <v>0</v>
      </c>
      <c r="AB20" s="4">
        <f t="shared" si="2"/>
        <v>0</v>
      </c>
    </row>
    <row r="21" spans="1:28" ht="30" customHeight="1">
      <c r="A21" s="12" t="s">
        <v>70</v>
      </c>
      <c r="B21" s="3"/>
      <c r="C21" s="3"/>
      <c r="D21" s="3"/>
      <c r="E21" s="3"/>
      <c r="F21" s="3"/>
      <c r="G21" s="3"/>
      <c r="H21" s="3"/>
      <c r="I21" s="3"/>
      <c r="J21" s="3">
        <f t="shared" si="1"/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3"/>
        <v>0</v>
      </c>
      <c r="AB21" s="4">
        <f t="shared" si="2"/>
        <v>0</v>
      </c>
    </row>
    <row r="22" spans="1:28" ht="30" customHeight="1">
      <c r="A22" s="10" t="s">
        <v>71</v>
      </c>
      <c r="B22" s="3"/>
      <c r="C22" s="3"/>
      <c r="D22" s="3"/>
      <c r="E22" s="3"/>
      <c r="F22" s="3"/>
      <c r="G22" s="3"/>
      <c r="H22" s="3"/>
      <c r="I22" s="3"/>
      <c r="J22" s="3">
        <f t="shared" si="1"/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>
        <f t="shared" si="3"/>
        <v>0</v>
      </c>
      <c r="AB22" s="4">
        <f t="shared" si="2"/>
        <v>0</v>
      </c>
    </row>
    <row r="23" spans="1:28" ht="30" customHeight="1">
      <c r="A23" s="10" t="s">
        <v>72</v>
      </c>
      <c r="B23" s="3"/>
      <c r="C23" s="3"/>
      <c r="D23" s="3"/>
      <c r="E23" s="3"/>
      <c r="F23" s="3"/>
      <c r="G23" s="3"/>
      <c r="H23" s="3"/>
      <c r="I23" s="3"/>
      <c r="J23" s="3">
        <f t="shared" si="1"/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>
        <f t="shared" si="3"/>
        <v>0</v>
      </c>
      <c r="AB23" s="4">
        <f t="shared" si="2"/>
        <v>0</v>
      </c>
    </row>
    <row r="24" spans="1:28" ht="30" customHeight="1">
      <c r="A24" s="66" t="s">
        <v>185</v>
      </c>
      <c r="B24" s="3"/>
      <c r="C24" s="3"/>
      <c r="D24" s="3"/>
      <c r="E24" s="3"/>
      <c r="F24" s="3"/>
      <c r="G24" s="3"/>
      <c r="H24" s="3"/>
      <c r="I24" s="3"/>
      <c r="J24" s="3">
        <f>SUM(B24:I24)</f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>
        <f>SUM(K24:Z24)</f>
        <v>0</v>
      </c>
      <c r="AB24" s="4">
        <f t="shared" si="2"/>
        <v>0</v>
      </c>
    </row>
    <row r="25" spans="1:28" ht="30" customHeight="1">
      <c r="A25" s="12" t="s">
        <v>99</v>
      </c>
      <c r="B25" s="3">
        <v>4360</v>
      </c>
      <c r="C25" s="3"/>
      <c r="D25" s="3"/>
      <c r="E25" s="3"/>
      <c r="F25" s="3"/>
      <c r="G25" s="3"/>
      <c r="H25" s="3"/>
      <c r="I25" s="3"/>
      <c r="J25" s="3">
        <f t="shared" si="1"/>
        <v>4360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>
        <f t="shared" si="3"/>
        <v>0</v>
      </c>
      <c r="AB25" s="4">
        <f t="shared" si="2"/>
        <v>4360</v>
      </c>
    </row>
    <row r="26" spans="1:27" ht="48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8" ht="30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85"/>
    </row>
  </sheetData>
  <mergeCells count="1">
    <mergeCell ref="X6:X9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4"/>
  <sheetViews>
    <sheetView showGridLines="0" zoomScale="75" zoomScaleNormal="75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J14" sqref="J14"/>
    </sheetView>
  </sheetViews>
  <sheetFormatPr defaultColWidth="9.00390625" defaultRowHeight="15.75"/>
  <cols>
    <col min="1" max="1" width="13.625" style="0" customWidth="1"/>
    <col min="2" max="2" width="10.625" style="0" customWidth="1"/>
    <col min="3" max="3" width="12.625" style="68" customWidth="1"/>
    <col min="4" max="4" width="10.625" style="0" customWidth="1"/>
    <col min="5" max="5" width="8.50390625" style="0" customWidth="1"/>
    <col min="6" max="6" width="17.125" style="0" customWidth="1"/>
    <col min="7" max="7" width="11.625" style="0" customWidth="1"/>
    <col min="8" max="8" width="11.25390625" style="0" customWidth="1"/>
    <col min="9" max="9" width="10.50390625" style="0" customWidth="1"/>
    <col min="10" max="10" width="13.125" style="67" customWidth="1"/>
    <col min="11" max="11" width="11.25390625" style="0" customWidth="1"/>
    <col min="12" max="12" width="15.625" style="0" customWidth="1"/>
    <col min="13" max="14" width="16.25390625" style="0" customWidth="1"/>
    <col min="15" max="15" width="17.75390625" style="68" customWidth="1"/>
    <col min="16" max="16" width="13.625" style="0" customWidth="1"/>
    <col min="17" max="17" width="11.25390625" style="0" customWidth="1"/>
    <col min="18" max="18" width="9.50390625" style="0" customWidth="1"/>
    <col min="19" max="19" width="10.00390625" style="0" customWidth="1"/>
    <col min="20" max="20" width="11.00390625" style="0" customWidth="1"/>
    <col min="21" max="21" width="9.25390625" style="0" customWidth="1"/>
    <col min="22" max="22" width="10.875" style="0" customWidth="1"/>
    <col min="23" max="23" width="9.75390625" style="0" customWidth="1"/>
    <col min="24" max="24" width="9.625" style="0" customWidth="1"/>
    <col min="25" max="25" width="10.00390625" style="0" customWidth="1"/>
    <col min="26" max="26" width="10.375" style="0" customWidth="1"/>
    <col min="27" max="27" width="12.75390625" style="0" customWidth="1"/>
    <col min="28" max="28" width="12.25390625" style="0" customWidth="1"/>
    <col min="34" max="34" width="11.875" style="0" customWidth="1"/>
    <col min="35" max="35" width="11.625" style="0" customWidth="1"/>
    <col min="36" max="36" width="11.125" style="0" customWidth="1"/>
  </cols>
  <sheetData>
    <row r="1" spans="3:15" ht="16.5">
      <c r="C1" s="67"/>
      <c r="L1" s="46" t="s">
        <v>169</v>
      </c>
      <c r="M1" s="46" t="s">
        <v>167</v>
      </c>
      <c r="N1" s="46" t="s">
        <v>168</v>
      </c>
      <c r="O1" s="46" t="s">
        <v>216</v>
      </c>
    </row>
    <row r="2" spans="3:36" ht="15.75">
      <c r="C2" s="67"/>
      <c r="AH2" s="14" t="e">
        <f>#REF!</f>
        <v>#REF!</v>
      </c>
      <c r="AI2" s="14">
        <f>C29</f>
        <v>0</v>
      </c>
      <c r="AJ2" s="14">
        <f>C29</f>
        <v>0</v>
      </c>
    </row>
    <row r="3" spans="1:15" ht="16.5">
      <c r="A3" s="33" t="s">
        <v>74</v>
      </c>
      <c r="B3" s="13">
        <f>1!$J$10</f>
        <v>0</v>
      </c>
      <c r="C3" s="13">
        <f>1!$AA$10</f>
        <v>0</v>
      </c>
      <c r="D3" s="13">
        <f>1!$AB$10</f>
        <v>0</v>
      </c>
      <c r="E3">
        <v>1</v>
      </c>
      <c r="F3" s="47"/>
      <c r="G3" s="47"/>
      <c r="H3">
        <v>1</v>
      </c>
      <c r="I3" s="33" t="s">
        <v>74</v>
      </c>
      <c r="J3" s="87">
        <f>1!AB10</f>
        <v>0</v>
      </c>
      <c r="K3" s="33" t="s">
        <v>74</v>
      </c>
      <c r="L3" s="48"/>
      <c r="M3" s="48"/>
      <c r="N3" s="48"/>
      <c r="O3" s="90">
        <f aca="true" t="shared" si="0" ref="O3:O29">L3-M3-N3</f>
        <v>0</v>
      </c>
    </row>
    <row r="4" spans="1:16" ht="16.5">
      <c r="A4" s="34" t="s">
        <v>75</v>
      </c>
      <c r="B4" s="13">
        <f>2!$J$10</f>
        <v>9091692</v>
      </c>
      <c r="C4" s="13">
        <f>2!$AA$10</f>
        <v>2628514</v>
      </c>
      <c r="D4" s="13">
        <f>2!$AB$10</f>
        <v>11720206</v>
      </c>
      <c r="E4">
        <v>2</v>
      </c>
      <c r="F4" s="47">
        <f>'[1]用途'!$J4</f>
        <v>2628514756</v>
      </c>
      <c r="G4" s="47"/>
      <c r="H4">
        <v>2</v>
      </c>
      <c r="I4" s="34" t="s">
        <v>75</v>
      </c>
      <c r="J4" s="87">
        <f>2!AB10</f>
        <v>11720206</v>
      </c>
      <c r="K4" s="34" t="s">
        <v>75</v>
      </c>
      <c r="L4" s="87">
        <f>(M4+N4)</f>
        <v>11720205993</v>
      </c>
      <c r="M4" s="48">
        <f>'[1]歲出全'!$N3</f>
        <v>11541427025</v>
      </c>
      <c r="N4" s="48">
        <v>178778968</v>
      </c>
      <c r="O4" s="90">
        <f t="shared" si="0"/>
        <v>0</v>
      </c>
      <c r="P4" s="14">
        <f>B4+C4-D4</f>
        <v>0</v>
      </c>
    </row>
    <row r="5" spans="1:16" ht="16.5">
      <c r="A5" s="34" t="s">
        <v>76</v>
      </c>
      <c r="B5" s="13">
        <f>3!$J$10</f>
        <v>26644757</v>
      </c>
      <c r="C5" s="13">
        <f>3!$AA$10</f>
        <v>14391974</v>
      </c>
      <c r="D5" s="13">
        <f>3!$AB$10</f>
        <v>41036731</v>
      </c>
      <c r="E5">
        <v>3</v>
      </c>
      <c r="F5" s="47">
        <f>'[1]用途'!$J5</f>
        <v>14391974365</v>
      </c>
      <c r="G5" s="47"/>
      <c r="H5">
        <v>3</v>
      </c>
      <c r="I5" s="34" t="s">
        <v>76</v>
      </c>
      <c r="J5" s="87">
        <f>3!AB10</f>
        <v>41036731</v>
      </c>
      <c r="K5" s="34" t="s">
        <v>76</v>
      </c>
      <c r="L5" s="87">
        <f>(M5+N5)</f>
        <v>41036731235</v>
      </c>
      <c r="M5" s="48">
        <f>'[1]歲出全'!$N10-2125057518</f>
        <v>40173727235</v>
      </c>
      <c r="N5" s="48">
        <v>863004000</v>
      </c>
      <c r="O5" s="90">
        <f t="shared" si="0"/>
        <v>0</v>
      </c>
      <c r="P5" s="14">
        <f aca="true" t="shared" si="1" ref="P5:P29">B5+C5-D5</f>
        <v>0</v>
      </c>
    </row>
    <row r="6" spans="1:16" ht="16.5">
      <c r="A6" s="34" t="s">
        <v>77</v>
      </c>
      <c r="B6" s="13">
        <f>4!$J$10</f>
        <v>3144481</v>
      </c>
      <c r="C6" s="13">
        <f>4!$AA$10</f>
        <v>263388</v>
      </c>
      <c r="D6" s="13">
        <f>4!$AB$10</f>
        <v>3407869</v>
      </c>
      <c r="E6">
        <v>4</v>
      </c>
      <c r="F6" s="47">
        <f>'[1]用途'!$J6</f>
        <v>263388331</v>
      </c>
      <c r="G6" s="47"/>
      <c r="H6">
        <v>4</v>
      </c>
      <c r="I6" s="34" t="s">
        <v>77</v>
      </c>
      <c r="J6" s="87">
        <f>4!AB10</f>
        <v>3407869</v>
      </c>
      <c r="K6" s="34" t="s">
        <v>77</v>
      </c>
      <c r="L6" s="87">
        <f>(M6+N6)</f>
        <v>3407868882</v>
      </c>
      <c r="M6" s="48">
        <f>'[1]歲出全'!$N41</f>
        <v>3328388815</v>
      </c>
      <c r="N6" s="48">
        <v>79480067</v>
      </c>
      <c r="O6" s="90">
        <f t="shared" si="0"/>
        <v>0</v>
      </c>
      <c r="P6" s="14">
        <f t="shared" si="1"/>
        <v>0</v>
      </c>
    </row>
    <row r="7" spans="1:16" ht="16.5">
      <c r="A7" s="34" t="s">
        <v>78</v>
      </c>
      <c r="B7" s="13">
        <f>5!$J$10</f>
        <v>16962638</v>
      </c>
      <c r="C7" s="13">
        <f>5!$AA$10</f>
        <v>816398</v>
      </c>
      <c r="D7" s="13">
        <f>5!$AB$10</f>
        <v>17779036</v>
      </c>
      <c r="E7">
        <v>5</v>
      </c>
      <c r="F7" s="47">
        <f>'[1]用途'!$J7</f>
        <v>816397199</v>
      </c>
      <c r="G7" s="47"/>
      <c r="H7">
        <v>5</v>
      </c>
      <c r="I7" s="34" t="s">
        <v>78</v>
      </c>
      <c r="J7" s="87">
        <f>5!AB10</f>
        <v>17779036</v>
      </c>
      <c r="K7" s="34" t="s">
        <v>78</v>
      </c>
      <c r="L7" s="87">
        <f>(M7+N7)</f>
        <v>17779036149</v>
      </c>
      <c r="M7" s="48">
        <f>'[1]歲出全'!$N44</f>
        <v>17039995019</v>
      </c>
      <c r="N7" s="48">
        <v>739041130</v>
      </c>
      <c r="O7" s="90">
        <f t="shared" si="0"/>
        <v>0</v>
      </c>
      <c r="P7" s="14">
        <f t="shared" si="1"/>
        <v>0</v>
      </c>
    </row>
    <row r="8" spans="1:16" ht="16.5">
      <c r="A8" s="34" t="s">
        <v>79</v>
      </c>
      <c r="B8" s="13">
        <f>6!$J$10</f>
        <v>8130751</v>
      </c>
      <c r="C8" s="13">
        <f>6!$AA$10</f>
        <v>85179</v>
      </c>
      <c r="D8" s="13">
        <f>6!$AB$10</f>
        <v>8215930</v>
      </c>
      <c r="E8">
        <v>6</v>
      </c>
      <c r="F8" s="47">
        <f>'[1]用途'!$J8</f>
        <v>85179246</v>
      </c>
      <c r="G8" s="47"/>
      <c r="H8">
        <v>6</v>
      </c>
      <c r="I8" s="34" t="s">
        <v>79</v>
      </c>
      <c r="J8" s="87">
        <f>6!AB10</f>
        <v>8215930</v>
      </c>
      <c r="K8" s="34" t="s">
        <v>79</v>
      </c>
      <c r="L8" s="87">
        <f>(M8+N8)</f>
        <v>8215930121</v>
      </c>
      <c r="M8" s="48">
        <f>'[1]歲出全'!$N83-49259000-18115133668</f>
        <v>2378291208</v>
      </c>
      <c r="N8" s="48">
        <v>5837638913</v>
      </c>
      <c r="O8" s="90">
        <f t="shared" si="0"/>
        <v>0</v>
      </c>
      <c r="P8" s="14">
        <f t="shared" si="1"/>
        <v>0</v>
      </c>
    </row>
    <row r="9" spans="1:16" ht="16.5">
      <c r="A9" s="34" t="s">
        <v>80</v>
      </c>
      <c r="B9" s="13">
        <f>7!$J$10</f>
        <v>2166451</v>
      </c>
      <c r="C9" s="13">
        <f>7!$AA$10</f>
        <v>84294</v>
      </c>
      <c r="D9" s="13">
        <f>7!$AB$10</f>
        <v>2250745</v>
      </c>
      <c r="E9">
        <v>7</v>
      </c>
      <c r="F9" s="47">
        <f>'[1]用途'!$J9</f>
        <v>84294257</v>
      </c>
      <c r="G9" s="47"/>
      <c r="H9">
        <v>7</v>
      </c>
      <c r="I9" s="34" t="s">
        <v>80</v>
      </c>
      <c r="J9" s="87">
        <f>7!AB10</f>
        <v>2250745</v>
      </c>
      <c r="K9" s="34" t="s">
        <v>80</v>
      </c>
      <c r="L9" s="87">
        <f aca="true" t="shared" si="2" ref="L9:L29">(M9+N9)</f>
        <v>2250744494</v>
      </c>
      <c r="M9" s="48">
        <f>'[1]歲出全'!$N92</f>
        <v>2000957053</v>
      </c>
      <c r="N9" s="48">
        <v>249787441</v>
      </c>
      <c r="O9" s="90">
        <f t="shared" si="0"/>
        <v>0</v>
      </c>
      <c r="P9" s="14">
        <f t="shared" si="1"/>
        <v>0</v>
      </c>
    </row>
    <row r="10" spans="1:16" ht="16.5">
      <c r="A10" s="34" t="s">
        <v>81</v>
      </c>
      <c r="B10" s="13">
        <f>8!$J$10</f>
        <v>136519236</v>
      </c>
      <c r="C10" s="13">
        <f>8!$AA$10</f>
        <v>38298346</v>
      </c>
      <c r="D10" s="13">
        <f>8!$AB$10</f>
        <v>174817582</v>
      </c>
      <c r="E10">
        <v>8</v>
      </c>
      <c r="F10" s="47">
        <f>'[1]用途'!$J10</f>
        <v>38298346189</v>
      </c>
      <c r="G10" s="47"/>
      <c r="H10">
        <v>8</v>
      </c>
      <c r="I10" s="34" t="s">
        <v>81</v>
      </c>
      <c r="J10" s="87">
        <f>8!AB10</f>
        <v>174817582</v>
      </c>
      <c r="K10" s="34" t="s">
        <v>81</v>
      </c>
      <c r="L10" s="87">
        <f t="shared" si="2"/>
        <v>174817582080</v>
      </c>
      <c r="M10" s="48">
        <f>'[1]歲出全'!$N98</f>
        <v>172386456748</v>
      </c>
      <c r="N10" s="48">
        <v>2431125332</v>
      </c>
      <c r="O10" s="90">
        <f t="shared" si="0"/>
        <v>0</v>
      </c>
      <c r="P10" s="14">
        <f t="shared" si="1"/>
        <v>0</v>
      </c>
    </row>
    <row r="11" spans="1:16" ht="16.5">
      <c r="A11" s="34" t="s">
        <v>82</v>
      </c>
      <c r="B11" s="13">
        <f>9!$J$10</f>
        <v>27386638</v>
      </c>
      <c r="C11" s="13">
        <f>9!$AA$10</f>
        <v>510832</v>
      </c>
      <c r="D11" s="13">
        <f>9!$AB$10</f>
        <v>27897470</v>
      </c>
      <c r="E11">
        <v>9</v>
      </c>
      <c r="F11" s="47">
        <f>'[1]用途'!$J11</f>
        <v>510832038</v>
      </c>
      <c r="G11" s="47"/>
      <c r="H11">
        <v>9</v>
      </c>
      <c r="I11" s="34" t="s">
        <v>82</v>
      </c>
      <c r="J11" s="87">
        <f>9!AB10</f>
        <v>27897470</v>
      </c>
      <c r="K11" s="34" t="s">
        <v>82</v>
      </c>
      <c r="L11" s="87">
        <f t="shared" si="2"/>
        <v>27897469551</v>
      </c>
      <c r="M11" s="48">
        <f>'[1]歲出全'!$N110</f>
        <v>27716846135</v>
      </c>
      <c r="N11" s="48">
        <v>180623416</v>
      </c>
      <c r="O11" s="90">
        <f t="shared" si="0"/>
        <v>0</v>
      </c>
      <c r="P11" s="14">
        <f t="shared" si="1"/>
        <v>0</v>
      </c>
    </row>
    <row r="12" spans="1:16" ht="16.5">
      <c r="A12" s="34" t="s">
        <v>83</v>
      </c>
      <c r="B12" s="13">
        <f>'10'!$J$10</f>
        <v>277418677</v>
      </c>
      <c r="C12" s="13">
        <f>'10'!$AA$10</f>
        <v>24284457</v>
      </c>
      <c r="D12" s="13">
        <f>'10'!$AB$10</f>
        <v>301703134</v>
      </c>
      <c r="E12">
        <v>10</v>
      </c>
      <c r="F12" s="47">
        <f>'[1]用途'!$J12</f>
        <v>24284457330</v>
      </c>
      <c r="G12" s="47"/>
      <c r="H12">
        <v>10</v>
      </c>
      <c r="I12" s="34" t="s">
        <v>83</v>
      </c>
      <c r="J12" s="87">
        <f>'10'!AB10</f>
        <v>301703134</v>
      </c>
      <c r="K12" s="34" t="s">
        <v>83</v>
      </c>
      <c r="L12" s="87">
        <f t="shared" si="2"/>
        <v>301703134225</v>
      </c>
      <c r="M12" s="48">
        <f>'[1]歲出全'!$N115</f>
        <v>301458405682</v>
      </c>
      <c r="N12" s="48">
        <v>244728543</v>
      </c>
      <c r="O12" s="90">
        <f t="shared" si="0"/>
        <v>0</v>
      </c>
      <c r="P12" s="14">
        <f t="shared" si="1"/>
        <v>0</v>
      </c>
    </row>
    <row r="13" spans="1:16" ht="16.5">
      <c r="A13" s="34" t="s">
        <v>84</v>
      </c>
      <c r="B13" s="13">
        <f>'11'!$J$10</f>
        <v>172601862</v>
      </c>
      <c r="C13" s="13">
        <f>'11'!$AA$10</f>
        <v>1449784</v>
      </c>
      <c r="D13" s="13">
        <f>'11'!$AB$10</f>
        <v>174051646</v>
      </c>
      <c r="E13">
        <v>11</v>
      </c>
      <c r="F13" s="47">
        <f>'[1]用途'!$J13</f>
        <v>1449783672</v>
      </c>
      <c r="G13" s="47"/>
      <c r="H13">
        <v>11</v>
      </c>
      <c r="I13" s="34" t="s">
        <v>84</v>
      </c>
      <c r="J13" s="87">
        <f>'11'!AB10</f>
        <v>174051646</v>
      </c>
      <c r="K13" s="34" t="s">
        <v>84</v>
      </c>
      <c r="L13" s="87">
        <f t="shared" si="2"/>
        <v>174051645609</v>
      </c>
      <c r="M13" s="48">
        <f>'[1]歲出全'!$N119</f>
        <v>172131945151</v>
      </c>
      <c r="N13" s="48">
        <v>1919700458</v>
      </c>
      <c r="O13" s="90">
        <f t="shared" si="0"/>
        <v>0</v>
      </c>
      <c r="P13" s="14">
        <f t="shared" si="1"/>
        <v>0</v>
      </c>
    </row>
    <row r="14" spans="1:16" ht="16.5">
      <c r="A14" s="34" t="s">
        <v>85</v>
      </c>
      <c r="B14" s="13">
        <f>'12'!$J$10</f>
        <v>141669694</v>
      </c>
      <c r="C14" s="13">
        <f>'12'!$AA$10</f>
        <v>25927061</v>
      </c>
      <c r="D14" s="13">
        <f>'12'!$AB$10</f>
        <v>167596755</v>
      </c>
      <c r="E14">
        <v>12</v>
      </c>
      <c r="F14" s="47">
        <f>'[1]用途'!$J14</f>
        <v>25927061020</v>
      </c>
      <c r="G14" s="47"/>
      <c r="H14">
        <v>12</v>
      </c>
      <c r="I14" s="34" t="s">
        <v>85</v>
      </c>
      <c r="J14" s="87">
        <f>'12'!AB10</f>
        <v>167596755</v>
      </c>
      <c r="K14" s="34" t="s">
        <v>85</v>
      </c>
      <c r="L14" s="87">
        <f t="shared" si="2"/>
        <v>167596754430</v>
      </c>
      <c r="M14" s="48">
        <f>'[1]歲出全'!$N134</f>
        <v>166930041721</v>
      </c>
      <c r="N14" s="48">
        <v>666712709</v>
      </c>
      <c r="O14" s="90">
        <f t="shared" si="0"/>
        <v>0</v>
      </c>
      <c r="P14" s="14">
        <f t="shared" si="1"/>
        <v>0</v>
      </c>
    </row>
    <row r="15" spans="1:16" ht="16.5">
      <c r="A15" s="34" t="s">
        <v>102</v>
      </c>
      <c r="B15" s="13">
        <f>'13'!$J$10</f>
        <v>26814114</v>
      </c>
      <c r="C15" s="13">
        <f>'13'!$AA$10</f>
        <v>1210257</v>
      </c>
      <c r="D15" s="13">
        <f>'13'!$AB$10</f>
        <v>28024371</v>
      </c>
      <c r="E15">
        <v>13</v>
      </c>
      <c r="F15" s="47">
        <f>'[1]用途'!$J15</f>
        <v>1210257490</v>
      </c>
      <c r="G15" s="47"/>
      <c r="H15">
        <v>13</v>
      </c>
      <c r="I15" s="34" t="s">
        <v>102</v>
      </c>
      <c r="J15" s="87">
        <f>'13'!AB10</f>
        <v>28024371</v>
      </c>
      <c r="K15" s="34" t="s">
        <v>102</v>
      </c>
      <c r="L15" s="87">
        <f t="shared" si="2"/>
        <v>28024371156</v>
      </c>
      <c r="M15" s="48">
        <f>'[1]歲出全'!$N146</f>
        <v>26612916487</v>
      </c>
      <c r="N15" s="48">
        <v>1411454669</v>
      </c>
      <c r="O15" s="90">
        <f t="shared" si="0"/>
        <v>0</v>
      </c>
      <c r="P15" s="14">
        <f t="shared" si="1"/>
        <v>0</v>
      </c>
    </row>
    <row r="16" spans="1:16" ht="16.5">
      <c r="A16" s="34" t="s">
        <v>114</v>
      </c>
      <c r="B16" s="13">
        <f>'14'!$J$10</f>
        <v>40857879</v>
      </c>
      <c r="C16" s="13">
        <f>'14'!$AA$10</f>
        <v>29502951</v>
      </c>
      <c r="D16" s="13">
        <f>'14'!$AB$10</f>
        <v>70360830</v>
      </c>
      <c r="E16">
        <v>14</v>
      </c>
      <c r="F16" s="47">
        <f>'[1]用途'!$J16</f>
        <v>29502951648</v>
      </c>
      <c r="G16" s="47"/>
      <c r="H16">
        <v>14</v>
      </c>
      <c r="I16" s="34" t="s">
        <v>114</v>
      </c>
      <c r="J16" s="87">
        <f>'14'!AB10</f>
        <v>70360830</v>
      </c>
      <c r="K16" s="34" t="s">
        <v>114</v>
      </c>
      <c r="L16" s="87">
        <f t="shared" si="2"/>
        <v>70360830468</v>
      </c>
      <c r="M16" s="48">
        <f>'[1]歲出全'!$N183</f>
        <v>69285325808</v>
      </c>
      <c r="N16" s="48">
        <v>1075504660</v>
      </c>
      <c r="O16" s="90">
        <f t="shared" si="0"/>
        <v>0</v>
      </c>
      <c r="P16" s="14">
        <f t="shared" si="1"/>
        <v>0</v>
      </c>
    </row>
    <row r="17" spans="1:16" ht="16.5">
      <c r="A17" s="34" t="s">
        <v>86</v>
      </c>
      <c r="B17" s="13">
        <f>'15'!$J$10</f>
        <v>12797441</v>
      </c>
      <c r="C17" s="13">
        <f>'15'!$AA$10</f>
        <v>78026653</v>
      </c>
      <c r="D17" s="13">
        <f>'15'!$AB$10</f>
        <v>90824094</v>
      </c>
      <c r="E17">
        <v>15</v>
      </c>
      <c r="F17" s="47">
        <f>'[1]用途'!$J17</f>
        <v>78026652742</v>
      </c>
      <c r="G17" s="86"/>
      <c r="H17">
        <v>15</v>
      </c>
      <c r="I17" s="34" t="s">
        <v>86</v>
      </c>
      <c r="J17" s="87">
        <f>'15'!AB10</f>
        <v>90824094</v>
      </c>
      <c r="K17" s="34" t="s">
        <v>86</v>
      </c>
      <c r="L17" s="87">
        <f t="shared" si="2"/>
        <v>90824093515</v>
      </c>
      <c r="M17" s="48">
        <f>'[1]歲出全'!$N196</f>
        <v>89595768810</v>
      </c>
      <c r="N17" s="48">
        <v>1228324705</v>
      </c>
      <c r="O17" s="90">
        <f t="shared" si="0"/>
        <v>0</v>
      </c>
      <c r="P17" s="14">
        <f t="shared" si="1"/>
        <v>0</v>
      </c>
    </row>
    <row r="18" spans="1:16" ht="16.5">
      <c r="A18" s="34" t="s">
        <v>87</v>
      </c>
      <c r="B18" s="13">
        <f>'16'!$J$10</f>
        <v>150218</v>
      </c>
      <c r="C18" s="13">
        <f>'16'!$AA$10</f>
        <v>3004</v>
      </c>
      <c r="D18" s="13">
        <f>'16'!$AB$10</f>
        <v>153222</v>
      </c>
      <c r="E18">
        <v>16</v>
      </c>
      <c r="F18" s="47">
        <f>'[1]用途'!$J18</f>
        <v>3003715</v>
      </c>
      <c r="G18" s="47"/>
      <c r="H18">
        <v>16</v>
      </c>
      <c r="I18" s="34" t="s">
        <v>87</v>
      </c>
      <c r="J18" s="87">
        <f>'16'!AB10</f>
        <v>153222</v>
      </c>
      <c r="K18" s="34" t="s">
        <v>87</v>
      </c>
      <c r="L18" s="87">
        <f t="shared" si="2"/>
        <v>153222377</v>
      </c>
      <c r="M18" s="48">
        <f>'[1]歲出全'!$N204</f>
        <v>139234636</v>
      </c>
      <c r="N18" s="48">
        <v>13987741</v>
      </c>
      <c r="O18" s="90">
        <f t="shared" si="0"/>
        <v>0</v>
      </c>
      <c r="P18" s="14">
        <f t="shared" si="1"/>
        <v>0</v>
      </c>
    </row>
    <row r="19" spans="1:16" ht="16.5">
      <c r="A19" s="34" t="s">
        <v>88</v>
      </c>
      <c r="B19" s="13">
        <f>'17'!$J$10</f>
        <v>1327518</v>
      </c>
      <c r="C19" s="13">
        <f>'17'!$AA$10</f>
        <v>37070</v>
      </c>
      <c r="D19" s="13">
        <f>'17'!$AB$10</f>
        <v>1364588</v>
      </c>
      <c r="E19">
        <v>17</v>
      </c>
      <c r="F19" s="47">
        <f>'[1]用途'!$J19</f>
        <v>37069142</v>
      </c>
      <c r="G19" s="47"/>
      <c r="H19">
        <v>17</v>
      </c>
      <c r="I19" s="34" t="s">
        <v>88</v>
      </c>
      <c r="J19" s="87">
        <f>'17'!AB10</f>
        <v>1364588</v>
      </c>
      <c r="K19" s="34" t="s">
        <v>88</v>
      </c>
      <c r="L19" s="87">
        <f t="shared" si="2"/>
        <v>1364587766</v>
      </c>
      <c r="M19" s="48">
        <f>'[1]歲出全'!$N207</f>
        <v>1297387369</v>
      </c>
      <c r="N19" s="48">
        <v>67200397</v>
      </c>
      <c r="O19" s="90">
        <f t="shared" si="0"/>
        <v>0</v>
      </c>
      <c r="P19" s="14">
        <f t="shared" si="1"/>
        <v>0</v>
      </c>
    </row>
    <row r="20" spans="1:16" ht="16.5">
      <c r="A20" s="34" t="s">
        <v>89</v>
      </c>
      <c r="B20" s="13">
        <f>'18'!$J$10</f>
        <v>132562251</v>
      </c>
      <c r="C20" s="13">
        <f>'18'!$AA$10</f>
        <v>318616</v>
      </c>
      <c r="D20" s="49">
        <f>'18'!$AB$10</f>
        <v>132880867</v>
      </c>
      <c r="E20">
        <v>18</v>
      </c>
      <c r="F20" s="47">
        <f>'[1]用途'!$J20</f>
        <v>318615773</v>
      </c>
      <c r="G20" s="53"/>
      <c r="H20">
        <v>18</v>
      </c>
      <c r="I20" s="34" t="s">
        <v>89</v>
      </c>
      <c r="J20" s="87">
        <f>'18'!AB10</f>
        <v>132880867</v>
      </c>
      <c r="K20" s="34" t="s">
        <v>89</v>
      </c>
      <c r="L20" s="87">
        <f t="shared" si="2"/>
        <v>132880866753</v>
      </c>
      <c r="M20" s="48">
        <f>'[1]歲出全'!$N210</f>
        <v>132500159151</v>
      </c>
      <c r="N20" s="48">
        <v>380707602</v>
      </c>
      <c r="O20" s="90">
        <f t="shared" si="0"/>
        <v>0</v>
      </c>
      <c r="P20" s="14">
        <f t="shared" si="1"/>
        <v>0</v>
      </c>
    </row>
    <row r="21" spans="1:16" ht="16.5">
      <c r="A21" s="34" t="s">
        <v>90</v>
      </c>
      <c r="B21" s="13">
        <f>'19'!$J$10</f>
        <v>6719026</v>
      </c>
      <c r="C21" s="13">
        <f>'19'!$AA$10</f>
        <v>33149314</v>
      </c>
      <c r="D21" s="13">
        <f>'19'!$AB$10</f>
        <v>39868340</v>
      </c>
      <c r="E21">
        <v>19</v>
      </c>
      <c r="F21" s="47">
        <f>'[1]用途'!$J21</f>
        <v>33149312640</v>
      </c>
      <c r="G21" s="47"/>
      <c r="H21">
        <v>19</v>
      </c>
      <c r="I21" s="34" t="s">
        <v>116</v>
      </c>
      <c r="J21" s="87">
        <f>'19'!AB10</f>
        <v>39868340</v>
      </c>
      <c r="K21" s="34" t="s">
        <v>116</v>
      </c>
      <c r="L21" s="87">
        <f t="shared" si="2"/>
        <v>39868339986</v>
      </c>
      <c r="M21" s="48">
        <f>'[1]歲出全'!$N213</f>
        <v>39785410311</v>
      </c>
      <c r="N21" s="48">
        <v>82929675</v>
      </c>
      <c r="O21" s="90">
        <f t="shared" si="0"/>
        <v>0</v>
      </c>
      <c r="P21" s="14">
        <f t="shared" si="1"/>
        <v>0</v>
      </c>
    </row>
    <row r="22" spans="1:16" ht="16.5">
      <c r="A22" s="34" t="s">
        <v>91</v>
      </c>
      <c r="B22" s="13">
        <f>'20'!$J$10</f>
        <v>2678618</v>
      </c>
      <c r="C22" s="13">
        <f>'20'!$AA$10</f>
        <v>884192</v>
      </c>
      <c r="D22" s="13">
        <f>'20'!$AB$10</f>
        <v>3562810</v>
      </c>
      <c r="E22">
        <v>20</v>
      </c>
      <c r="F22" s="47">
        <f>'[1]用途'!$J22</f>
        <v>884192188</v>
      </c>
      <c r="G22" s="47"/>
      <c r="H22">
        <v>20</v>
      </c>
      <c r="I22" s="46" t="s">
        <v>115</v>
      </c>
      <c r="J22" s="87">
        <f>'20'!AB10</f>
        <v>3562810</v>
      </c>
      <c r="K22" s="46" t="s">
        <v>115</v>
      </c>
      <c r="L22" s="87">
        <f t="shared" si="2"/>
        <v>3562810199</v>
      </c>
      <c r="M22" s="48">
        <f>'[1]歲出全'!$N219</f>
        <v>3399762027</v>
      </c>
      <c r="N22" s="48">
        <v>163048172</v>
      </c>
      <c r="O22" s="90">
        <f t="shared" si="0"/>
        <v>0</v>
      </c>
      <c r="P22" s="14">
        <f t="shared" si="1"/>
        <v>0</v>
      </c>
    </row>
    <row r="23" spans="1:16" ht="16.5">
      <c r="A23" s="34" t="s">
        <v>100</v>
      </c>
      <c r="B23" s="13">
        <f>'21'!$J$10</f>
        <v>89956785</v>
      </c>
      <c r="C23" s="13">
        <f>'21'!$AA$10</f>
        <v>16367381</v>
      </c>
      <c r="D23" s="13">
        <f>'21'!$AB$10</f>
        <v>106324166</v>
      </c>
      <c r="E23">
        <v>21</v>
      </c>
      <c r="F23" s="47">
        <f>'[1]用途'!$J23</f>
        <v>16367380648</v>
      </c>
      <c r="G23" s="86"/>
      <c r="H23">
        <v>21</v>
      </c>
      <c r="I23" s="34" t="s">
        <v>100</v>
      </c>
      <c r="J23" s="87">
        <f>'21'!AB10</f>
        <v>106324166</v>
      </c>
      <c r="K23" s="34" t="s">
        <v>100</v>
      </c>
      <c r="L23" s="87">
        <f t="shared" si="2"/>
        <v>106324165961</v>
      </c>
      <c r="M23" s="48">
        <f>'[1]歲出全'!$N225</f>
        <v>104995144125</v>
      </c>
      <c r="N23" s="48">
        <v>1329021836</v>
      </c>
      <c r="O23" s="90">
        <f t="shared" si="0"/>
        <v>0</v>
      </c>
      <c r="P23" s="14">
        <f t="shared" si="1"/>
        <v>0</v>
      </c>
    </row>
    <row r="24" spans="1:16" ht="16.5">
      <c r="A24" s="34" t="s">
        <v>101</v>
      </c>
      <c r="B24" s="13">
        <f>'22'!$J$10</f>
        <v>59875362</v>
      </c>
      <c r="C24" s="13">
        <f>'22'!$AA$10</f>
        <v>58303</v>
      </c>
      <c r="D24" s="13">
        <f>'22'!$AB$10</f>
        <v>59933665</v>
      </c>
      <c r="E24">
        <v>22</v>
      </c>
      <c r="F24" s="47">
        <f>'[1]用途'!$J24</f>
        <v>58302917</v>
      </c>
      <c r="G24" s="47"/>
      <c r="H24">
        <v>22</v>
      </c>
      <c r="I24" s="34" t="s">
        <v>101</v>
      </c>
      <c r="J24" s="87">
        <f>'22'!AB10</f>
        <v>59933665</v>
      </c>
      <c r="K24" s="34" t="s">
        <v>101</v>
      </c>
      <c r="L24" s="87">
        <f t="shared" si="2"/>
        <v>59933665209</v>
      </c>
      <c r="M24" s="48">
        <f>'[1]歲出全'!$N250</f>
        <v>59667443163</v>
      </c>
      <c r="N24" s="48">
        <v>266222046</v>
      </c>
      <c r="O24" s="90">
        <f t="shared" si="0"/>
        <v>0</v>
      </c>
      <c r="P24" s="14">
        <f t="shared" si="1"/>
        <v>0</v>
      </c>
    </row>
    <row r="25" spans="1:16" ht="16.5">
      <c r="A25" s="34" t="s">
        <v>92</v>
      </c>
      <c r="B25" s="13">
        <f>'23'!$J$10</f>
        <v>52876720</v>
      </c>
      <c r="C25" s="13">
        <f>'23'!$AA$10</f>
        <v>1952306</v>
      </c>
      <c r="D25" s="13">
        <f>'23'!$AB$10</f>
        <v>54829026</v>
      </c>
      <c r="E25">
        <v>23</v>
      </c>
      <c r="F25" s="47">
        <f>'[1]用途'!$J25</f>
        <v>1952305930</v>
      </c>
      <c r="G25" s="47"/>
      <c r="H25">
        <v>23</v>
      </c>
      <c r="I25" s="34" t="s">
        <v>92</v>
      </c>
      <c r="J25" s="87">
        <f>'23'!AB10</f>
        <v>54829026</v>
      </c>
      <c r="K25" s="34" t="s">
        <v>92</v>
      </c>
      <c r="L25" s="87">
        <f t="shared" si="2"/>
        <v>54829026431.35</v>
      </c>
      <c r="M25" s="48">
        <f>'[1]歲出全'!$N256</f>
        <v>54333453079.35</v>
      </c>
      <c r="N25" s="48">
        <v>495573352</v>
      </c>
      <c r="O25" s="90">
        <f t="shared" si="0"/>
        <v>0</v>
      </c>
      <c r="P25" s="14">
        <f t="shared" si="1"/>
        <v>0</v>
      </c>
    </row>
    <row r="26" spans="1:16" ht="16.5">
      <c r="A26" s="34" t="s">
        <v>93</v>
      </c>
      <c r="B26" s="13">
        <f>'24'!$J$10</f>
        <v>4126980</v>
      </c>
      <c r="C26" s="13">
        <f>'24'!$AA$10</f>
        <v>3619478</v>
      </c>
      <c r="D26" s="49">
        <f>'24'!$AB$10</f>
        <v>7746458</v>
      </c>
      <c r="E26">
        <v>24</v>
      </c>
      <c r="F26" s="47">
        <f>'[1]用途'!$J26</f>
        <v>3619478101</v>
      </c>
      <c r="G26" s="47"/>
      <c r="H26">
        <v>24</v>
      </c>
      <c r="I26" s="34" t="s">
        <v>93</v>
      </c>
      <c r="J26" s="87">
        <f>'24'!AB10</f>
        <v>7746458</v>
      </c>
      <c r="K26" s="34" t="s">
        <v>93</v>
      </c>
      <c r="L26" s="87">
        <f t="shared" si="2"/>
        <v>7746457656</v>
      </c>
      <c r="M26" s="48">
        <f>'[1]歲出全'!$N264</f>
        <v>7658924884</v>
      </c>
      <c r="N26" s="48">
        <v>87532772</v>
      </c>
      <c r="O26" s="90">
        <f t="shared" si="0"/>
        <v>0</v>
      </c>
      <c r="P26" s="14">
        <f t="shared" si="1"/>
        <v>0</v>
      </c>
    </row>
    <row r="27" spans="1:16" ht="16.5">
      <c r="A27" s="46" t="s">
        <v>113</v>
      </c>
      <c r="B27" s="13">
        <f>'25'!$J$10</f>
        <v>10666366</v>
      </c>
      <c r="C27" s="13">
        <f>'25'!$AA$10</f>
        <v>1743857</v>
      </c>
      <c r="D27" s="13">
        <f>'25'!$AB$10</f>
        <v>12410223</v>
      </c>
      <c r="E27">
        <v>25</v>
      </c>
      <c r="F27" s="47">
        <f>'[1]用途'!$J27</f>
        <v>1743857649</v>
      </c>
      <c r="G27" s="47"/>
      <c r="H27">
        <v>25</v>
      </c>
      <c r="I27" s="46" t="s">
        <v>113</v>
      </c>
      <c r="J27" s="87">
        <f>'25'!AB10</f>
        <v>12410223</v>
      </c>
      <c r="K27" s="46" t="s">
        <v>113</v>
      </c>
      <c r="L27" s="87">
        <f t="shared" si="2"/>
        <v>12410223412</v>
      </c>
      <c r="M27" s="48">
        <f>'[1]歲出全'!$N269</f>
        <v>12286455448</v>
      </c>
      <c r="N27" s="48">
        <v>123767964</v>
      </c>
      <c r="O27" s="90">
        <f t="shared" si="0"/>
        <v>0</v>
      </c>
      <c r="P27" s="14">
        <f t="shared" si="1"/>
        <v>0</v>
      </c>
    </row>
    <row r="28" spans="1:16" ht="16.5">
      <c r="A28" s="34" t="s">
        <v>211</v>
      </c>
      <c r="B28" s="13">
        <f>'26'!$J$10</f>
        <v>145259509</v>
      </c>
      <c r="C28" s="13">
        <f>'26'!$AA$10</f>
        <v>31470476</v>
      </c>
      <c r="D28" s="13">
        <f>'26'!$AB$10</f>
        <v>176729985</v>
      </c>
      <c r="E28">
        <v>26</v>
      </c>
      <c r="F28" s="47">
        <f>'[1]用途'!$J28</f>
        <v>31470476112</v>
      </c>
      <c r="G28" s="47"/>
      <c r="H28">
        <v>26</v>
      </c>
      <c r="I28" s="34" t="s">
        <v>94</v>
      </c>
      <c r="J28" s="87">
        <f>'26'!AB10</f>
        <v>176729985</v>
      </c>
      <c r="K28" s="34" t="s">
        <v>94</v>
      </c>
      <c r="L28" s="87">
        <f t="shared" si="2"/>
        <v>176729985289</v>
      </c>
      <c r="M28" s="48">
        <f>'[1]歲出全'!$N275</f>
        <v>176556431671</v>
      </c>
      <c r="N28" s="48">
        <v>173553618</v>
      </c>
      <c r="O28" s="90">
        <f t="shared" si="0"/>
        <v>0</v>
      </c>
      <c r="P28" s="14">
        <f t="shared" si="1"/>
        <v>0</v>
      </c>
    </row>
    <row r="29" spans="1:16" ht="16.5">
      <c r="A29" s="46" t="s">
        <v>212</v>
      </c>
      <c r="B29" s="13">
        <f>'27'!$J$10</f>
        <v>0</v>
      </c>
      <c r="C29" s="13">
        <f>'27'!$AA$10</f>
        <v>0</v>
      </c>
      <c r="D29" s="13">
        <f>'27'!$AB$10</f>
        <v>0</v>
      </c>
      <c r="E29">
        <v>27</v>
      </c>
      <c r="F29" s="47">
        <v>0</v>
      </c>
      <c r="G29" s="47"/>
      <c r="H29" s="14"/>
      <c r="J29" s="87">
        <f>'27'!AB10</f>
        <v>0</v>
      </c>
      <c r="L29" s="87">
        <f t="shared" si="2"/>
        <v>0</v>
      </c>
      <c r="M29" s="48">
        <f>'[1]歲出全'!$N283</f>
        <v>0</v>
      </c>
      <c r="O29" s="90">
        <f t="shared" si="0"/>
        <v>0</v>
      </c>
      <c r="P29" s="14">
        <f t="shared" si="1"/>
        <v>0</v>
      </c>
    </row>
    <row r="30" spans="1:18" ht="15.75">
      <c r="A30" t="s">
        <v>17</v>
      </c>
      <c r="B30" s="13">
        <f>SUM(B3:B29)</f>
        <v>1408405664</v>
      </c>
      <c r="C30" s="13">
        <f>SUM(C3:C29)</f>
        <v>307084085</v>
      </c>
      <c r="D30" s="13">
        <f>SUM(D3:D29)</f>
        <v>1715489749</v>
      </c>
      <c r="F30" s="52">
        <f>SUM(F3:F29)</f>
        <v>307084085098</v>
      </c>
      <c r="G30" s="51">
        <f>SUM(G3:G29)</f>
        <v>0</v>
      </c>
      <c r="L30" s="13">
        <f>SUM(L4:L29)</f>
        <v>1715489748947.35</v>
      </c>
      <c r="M30" s="13">
        <f>SUM(M3:M29)</f>
        <v>1695200298761.35</v>
      </c>
      <c r="N30" s="13">
        <f>SUM(N3:N28)</f>
        <v>20289450186</v>
      </c>
      <c r="R30" s="14"/>
    </row>
    <row r="31" spans="1:14" ht="16.5">
      <c r="A31" s="34" t="s">
        <v>105</v>
      </c>
      <c r="B31" s="36" t="s">
        <v>103</v>
      </c>
      <c r="C31" s="36" t="s">
        <v>103</v>
      </c>
      <c r="D31" s="36" t="s">
        <v>103</v>
      </c>
      <c r="E31" s="14" t="s">
        <v>103</v>
      </c>
      <c r="F31" s="52"/>
      <c r="G31" s="14"/>
      <c r="J31" s="87">
        <f>SUM(J3:J30)</f>
        <v>1715489749</v>
      </c>
      <c r="L31" s="14"/>
      <c r="M31" s="14">
        <f>M30+N30</f>
        <v>1715489748947.35</v>
      </c>
      <c r="N31" t="s">
        <v>17</v>
      </c>
    </row>
    <row r="32" spans="1:10" ht="15.75">
      <c r="A32" t="s">
        <v>104</v>
      </c>
      <c r="B32" s="14" t="s">
        <v>104</v>
      </c>
      <c r="C32" s="91" t="s">
        <v>103</v>
      </c>
      <c r="D32" s="36" t="s">
        <v>103</v>
      </c>
      <c r="G32" t="s">
        <v>104</v>
      </c>
      <c r="J32" s="87"/>
    </row>
    <row r="33" spans="2:10" ht="15.75">
      <c r="B33" s="36" t="s">
        <v>103</v>
      </c>
      <c r="C33" s="36" t="s">
        <v>103</v>
      </c>
      <c r="D33" s="36" t="s">
        <v>103</v>
      </c>
      <c r="J33" s="87">
        <f>J31-J32</f>
        <v>1715489749</v>
      </c>
    </row>
    <row r="34" spans="2:7" ht="15.75">
      <c r="B34" s="13">
        <v>9.5</v>
      </c>
      <c r="C34" s="91" t="s">
        <v>103</v>
      </c>
      <c r="D34" s="13">
        <v>9.5</v>
      </c>
      <c r="F34">
        <v>8</v>
      </c>
      <c r="G34">
        <v>11</v>
      </c>
    </row>
  </sheetData>
  <printOptions horizontalCentered="1" verticalCentered="1"/>
  <pageMargins left="0.5511811023622047" right="0.5511811023622047" top="0.9448818897637796" bottom="0.984251968503937" header="1.0236220472440944" footer="0.5118110236220472"/>
  <pageSetup horizontalDpi="600" verticalDpi="600" orientation="portrait" pageOrder="overThenDown" paperSize="9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27"/>
  <sheetViews>
    <sheetView zoomScale="75" zoomScaleNormal="75" workbookViewId="0" topLeftCell="A7">
      <pane xSplit="1" ySplit="4" topLeftCell="B11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ColWidth="9.00390625" defaultRowHeight="15.75"/>
  <cols>
    <col min="1" max="1" width="27.375" style="0" customWidth="1"/>
    <col min="2" max="2" width="10.125" style="83" customWidth="1"/>
    <col min="3" max="3" width="10.00390625" style="83" customWidth="1"/>
    <col min="4" max="4" width="8.75390625" style="83" customWidth="1"/>
    <col min="5" max="6" width="9.00390625" style="83" customWidth="1"/>
    <col min="7" max="7" width="11.00390625" style="83" customWidth="1"/>
    <col min="8" max="8" width="11.50390625" style="83" customWidth="1"/>
    <col min="9" max="9" width="9.00390625" style="83" customWidth="1"/>
    <col min="10" max="10" width="11.50390625" style="83" customWidth="1"/>
    <col min="11" max="12" width="9.875" style="83" customWidth="1"/>
    <col min="13" max="13" width="10.125" style="83" customWidth="1"/>
    <col min="14" max="14" width="11.00390625" style="83" customWidth="1"/>
    <col min="15" max="15" width="11.875" style="83" customWidth="1"/>
    <col min="16" max="16" width="10.625" style="83" customWidth="1"/>
    <col min="17" max="17" width="11.25390625" style="83" customWidth="1"/>
    <col min="18" max="18" width="11.50390625" style="83" customWidth="1"/>
    <col min="19" max="19" width="9.00390625" style="83" customWidth="1"/>
    <col min="20" max="20" width="9.375" style="83" bestFit="1" customWidth="1"/>
    <col min="21" max="21" width="9.75390625" style="83" bestFit="1" customWidth="1"/>
    <col min="22" max="22" width="9.00390625" style="83" customWidth="1"/>
    <col min="23" max="23" width="9.375" style="83" bestFit="1" customWidth="1"/>
    <col min="24" max="24" width="9.25390625" style="83" customWidth="1"/>
    <col min="25" max="25" width="9.25390625" style="83" bestFit="1" customWidth="1"/>
    <col min="26" max="26" width="9.00390625" style="83" customWidth="1"/>
    <col min="27" max="27" width="10.375" style="83" customWidth="1"/>
    <col min="28" max="28" width="12.25390625" style="83" customWidth="1"/>
  </cols>
  <sheetData>
    <row r="1" spans="5:28" ht="21">
      <c r="E1" s="2"/>
      <c r="F1" s="15" t="s">
        <v>95</v>
      </c>
      <c r="G1" s="16" t="s">
        <v>96</v>
      </c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15" t="s">
        <v>95</v>
      </c>
      <c r="T1" s="16" t="s">
        <v>96</v>
      </c>
      <c r="U1" s="68"/>
      <c r="V1" s="68"/>
      <c r="W1" s="68"/>
      <c r="X1" s="68"/>
      <c r="Y1" s="68"/>
      <c r="Z1" s="68"/>
      <c r="AA1" s="68"/>
      <c r="AB1" s="68"/>
    </row>
    <row r="2" spans="2:28" ht="27.75">
      <c r="B2" s="68"/>
      <c r="C2" s="68"/>
      <c r="D2" s="1"/>
      <c r="E2" s="1"/>
      <c r="F2" s="17" t="s">
        <v>97</v>
      </c>
      <c r="G2" s="18" t="s">
        <v>98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17" t="s">
        <v>97</v>
      </c>
      <c r="T2" s="18" t="s">
        <v>98</v>
      </c>
      <c r="U2" s="68"/>
      <c r="V2" s="68"/>
      <c r="W2" s="68"/>
      <c r="X2" s="68"/>
      <c r="Y2" s="68"/>
      <c r="Z2" s="68"/>
      <c r="AA2" s="68"/>
      <c r="AB2" s="68"/>
    </row>
    <row r="3" spans="2:28" ht="16.5">
      <c r="B3" s="68"/>
      <c r="C3" s="68"/>
      <c r="D3" s="68"/>
      <c r="E3" s="68"/>
      <c r="F3" s="19" t="s">
        <v>126</v>
      </c>
      <c r="G3" s="35" t="s">
        <v>127</v>
      </c>
      <c r="H3" s="68"/>
      <c r="I3" s="68"/>
      <c r="J3" s="68"/>
      <c r="K3" s="68"/>
      <c r="L3" s="68"/>
      <c r="M3" s="20" t="s">
        <v>0</v>
      </c>
      <c r="N3" s="68"/>
      <c r="O3" s="68"/>
      <c r="P3" s="68"/>
      <c r="Q3" s="68"/>
      <c r="R3" s="68"/>
      <c r="S3" s="19" t="s">
        <v>126</v>
      </c>
      <c r="T3" s="35" t="s">
        <v>127</v>
      </c>
      <c r="U3" s="68"/>
      <c r="V3" s="68"/>
      <c r="W3" s="68"/>
      <c r="X3" s="68"/>
      <c r="Y3" s="68"/>
      <c r="Z3" s="68"/>
      <c r="AA3" s="68"/>
      <c r="AB3" s="20" t="s">
        <v>0</v>
      </c>
    </row>
    <row r="4" spans="1:28" ht="30" customHeight="1">
      <c r="A4" s="21" t="s">
        <v>1</v>
      </c>
      <c r="B4" s="22" t="s">
        <v>186</v>
      </c>
      <c r="C4" s="69"/>
      <c r="D4" s="69"/>
      <c r="E4" s="69"/>
      <c r="F4" s="69"/>
      <c r="G4" s="69"/>
      <c r="H4" s="69"/>
      <c r="I4" s="69"/>
      <c r="J4" s="70"/>
      <c r="K4" s="23" t="s">
        <v>187</v>
      </c>
      <c r="L4" s="71"/>
      <c r="M4" s="71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3"/>
      <c r="AB4" s="74"/>
    </row>
    <row r="5" spans="1:28" s="9" customFormat="1" ht="25.5" customHeight="1">
      <c r="A5" s="24" t="s">
        <v>3</v>
      </c>
      <c r="B5" s="25" t="s">
        <v>4</v>
      </c>
      <c r="C5" s="25" t="s">
        <v>5</v>
      </c>
      <c r="D5" s="25" t="s">
        <v>6</v>
      </c>
      <c r="E5" s="25" t="s">
        <v>7</v>
      </c>
      <c r="F5" s="26" t="s">
        <v>188</v>
      </c>
      <c r="G5" s="75"/>
      <c r="H5" s="75"/>
      <c r="I5" s="76"/>
      <c r="J5" s="44" t="s">
        <v>112</v>
      </c>
      <c r="K5" s="26" t="s">
        <v>189</v>
      </c>
      <c r="L5" s="75"/>
      <c r="M5" s="76"/>
      <c r="N5" s="26" t="s">
        <v>190</v>
      </c>
      <c r="O5" s="75"/>
      <c r="P5" s="75"/>
      <c r="Q5" s="76"/>
      <c r="R5" s="25" t="s">
        <v>11</v>
      </c>
      <c r="S5" s="25" t="s">
        <v>12</v>
      </c>
      <c r="T5" s="26" t="s">
        <v>191</v>
      </c>
      <c r="U5" s="75"/>
      <c r="V5" s="75"/>
      <c r="W5" s="75"/>
      <c r="X5" s="75"/>
      <c r="Y5" s="75"/>
      <c r="Z5" s="77"/>
      <c r="AA5" s="25" t="s">
        <v>13</v>
      </c>
      <c r="AB5" s="27" t="s">
        <v>14</v>
      </c>
    </row>
    <row r="6" spans="1:28" ht="16.5">
      <c r="A6" s="10"/>
      <c r="B6" s="80"/>
      <c r="C6" s="28" t="s">
        <v>15</v>
      </c>
      <c r="D6" s="28" t="s">
        <v>16</v>
      </c>
      <c r="E6" s="28" t="s">
        <v>192</v>
      </c>
      <c r="F6" s="80"/>
      <c r="G6" s="80"/>
      <c r="H6" s="80"/>
      <c r="I6" s="80"/>
      <c r="J6" s="28" t="s">
        <v>193</v>
      </c>
      <c r="K6" s="80"/>
      <c r="L6" s="43" t="s">
        <v>194</v>
      </c>
      <c r="M6" s="43" t="s">
        <v>195</v>
      </c>
      <c r="N6" s="80" t="s">
        <v>17</v>
      </c>
      <c r="O6" s="80"/>
      <c r="P6" s="80"/>
      <c r="Q6" s="80"/>
      <c r="R6" s="28" t="s">
        <v>18</v>
      </c>
      <c r="S6" s="28" t="s">
        <v>196</v>
      </c>
      <c r="T6" s="80" t="s">
        <v>17</v>
      </c>
      <c r="U6" s="80" t="s">
        <v>17</v>
      </c>
      <c r="V6" s="80"/>
      <c r="W6" s="80"/>
      <c r="X6" s="107" t="s">
        <v>183</v>
      </c>
      <c r="Y6" s="80"/>
      <c r="Z6" s="80"/>
      <c r="AA6" s="28" t="s">
        <v>197</v>
      </c>
      <c r="AB6" s="81"/>
    </row>
    <row r="7" spans="1:28" ht="16.5">
      <c r="A7" s="10"/>
      <c r="B7" s="28" t="s">
        <v>19</v>
      </c>
      <c r="C7" s="28" t="s">
        <v>198</v>
      </c>
      <c r="D7" s="80"/>
      <c r="E7" s="80" t="s">
        <v>17</v>
      </c>
      <c r="F7" s="28" t="s">
        <v>20</v>
      </c>
      <c r="G7" s="28" t="s">
        <v>21</v>
      </c>
      <c r="H7" s="28" t="s">
        <v>20</v>
      </c>
      <c r="I7" s="28" t="s">
        <v>20</v>
      </c>
      <c r="J7" s="80"/>
      <c r="K7" s="28" t="s">
        <v>22</v>
      </c>
      <c r="L7" s="28" t="s">
        <v>199</v>
      </c>
      <c r="M7" s="28" t="s">
        <v>23</v>
      </c>
      <c r="N7" s="28" t="s">
        <v>20</v>
      </c>
      <c r="O7" s="28" t="s">
        <v>21</v>
      </c>
      <c r="P7" s="28" t="s">
        <v>20</v>
      </c>
      <c r="Q7" s="28" t="s">
        <v>20</v>
      </c>
      <c r="R7" s="80"/>
      <c r="S7" s="80"/>
      <c r="T7" s="28" t="s">
        <v>24</v>
      </c>
      <c r="U7" s="28" t="s">
        <v>25</v>
      </c>
      <c r="V7" s="28" t="s">
        <v>26</v>
      </c>
      <c r="W7" s="28" t="s">
        <v>27</v>
      </c>
      <c r="X7" s="108"/>
      <c r="Y7" s="28" t="s">
        <v>28</v>
      </c>
      <c r="Z7" s="28" t="s">
        <v>29</v>
      </c>
      <c r="AA7" s="80"/>
      <c r="AB7" s="81"/>
    </row>
    <row r="8" spans="1:28" ht="16.5">
      <c r="A8" s="29" t="s">
        <v>30</v>
      </c>
      <c r="B8" s="80"/>
      <c r="C8" s="28" t="s">
        <v>31</v>
      </c>
      <c r="D8" s="28" t="s">
        <v>32</v>
      </c>
      <c r="E8" s="28" t="s">
        <v>200</v>
      </c>
      <c r="F8" s="28" t="s">
        <v>33</v>
      </c>
      <c r="G8" s="28" t="s">
        <v>34</v>
      </c>
      <c r="H8" s="28" t="s">
        <v>35</v>
      </c>
      <c r="I8" s="28" t="s">
        <v>36</v>
      </c>
      <c r="J8" s="28" t="s">
        <v>201</v>
      </c>
      <c r="K8" s="80"/>
      <c r="L8" s="28" t="s">
        <v>202</v>
      </c>
      <c r="M8" s="80"/>
      <c r="N8" s="28" t="s">
        <v>33</v>
      </c>
      <c r="O8" s="28" t="s">
        <v>34</v>
      </c>
      <c r="P8" s="28" t="s">
        <v>35</v>
      </c>
      <c r="Q8" s="28" t="s">
        <v>36</v>
      </c>
      <c r="R8" s="28" t="s">
        <v>37</v>
      </c>
      <c r="S8" s="28" t="s">
        <v>203</v>
      </c>
      <c r="T8" s="80"/>
      <c r="U8" s="28" t="s">
        <v>24</v>
      </c>
      <c r="V8" s="80"/>
      <c r="W8" s="80"/>
      <c r="X8" s="108"/>
      <c r="Y8" s="28" t="s">
        <v>38</v>
      </c>
      <c r="Z8" s="80"/>
      <c r="AA8" s="28" t="s">
        <v>201</v>
      </c>
      <c r="AB8" s="30" t="s">
        <v>39</v>
      </c>
    </row>
    <row r="9" spans="1:28" ht="16.5">
      <c r="A9" s="31" t="s">
        <v>3</v>
      </c>
      <c r="B9" s="32" t="s">
        <v>40</v>
      </c>
      <c r="C9" s="32" t="s">
        <v>41</v>
      </c>
      <c r="D9" s="32" t="s">
        <v>42</v>
      </c>
      <c r="E9" s="32" t="s">
        <v>43</v>
      </c>
      <c r="F9" s="32" t="s">
        <v>44</v>
      </c>
      <c r="G9" s="32" t="s">
        <v>45</v>
      </c>
      <c r="H9" s="32" t="s">
        <v>46</v>
      </c>
      <c r="I9" s="32" t="s">
        <v>47</v>
      </c>
      <c r="J9" s="32" t="s">
        <v>48</v>
      </c>
      <c r="K9" s="32" t="s">
        <v>49</v>
      </c>
      <c r="L9" s="32" t="s">
        <v>204</v>
      </c>
      <c r="M9" s="32" t="s">
        <v>51</v>
      </c>
      <c r="N9" s="32" t="s">
        <v>44</v>
      </c>
      <c r="O9" s="32" t="s">
        <v>205</v>
      </c>
      <c r="P9" s="32" t="s">
        <v>46</v>
      </c>
      <c r="Q9" s="32" t="s">
        <v>47</v>
      </c>
      <c r="R9" s="32" t="s">
        <v>52</v>
      </c>
      <c r="S9" s="32" t="s">
        <v>53</v>
      </c>
      <c r="T9" s="32" t="s">
        <v>54</v>
      </c>
      <c r="U9" s="32" t="s">
        <v>54</v>
      </c>
      <c r="V9" s="32" t="s">
        <v>55</v>
      </c>
      <c r="W9" s="32" t="s">
        <v>56</v>
      </c>
      <c r="X9" s="109"/>
      <c r="Y9" s="32" t="s">
        <v>57</v>
      </c>
      <c r="Z9" s="32" t="s">
        <v>58</v>
      </c>
      <c r="AA9" s="32" t="s">
        <v>48</v>
      </c>
      <c r="AB9" s="82"/>
    </row>
    <row r="10" spans="1:28" ht="30" customHeight="1">
      <c r="A10" s="10" t="s">
        <v>59</v>
      </c>
      <c r="B10" s="3">
        <f aca="true" t="shared" si="0" ref="B10:AB10">SUM(B11:B25)</f>
        <v>83378156</v>
      </c>
      <c r="C10" s="3">
        <f t="shared" si="0"/>
        <v>1188675</v>
      </c>
      <c r="D10" s="3">
        <f t="shared" si="0"/>
        <v>0</v>
      </c>
      <c r="E10" s="3">
        <f t="shared" si="0"/>
        <v>0</v>
      </c>
      <c r="F10" s="3">
        <f t="shared" si="0"/>
        <v>0</v>
      </c>
      <c r="G10" s="3">
        <f t="shared" si="0"/>
        <v>44204716</v>
      </c>
      <c r="H10" s="3">
        <f t="shared" si="0"/>
        <v>3790559</v>
      </c>
      <c r="I10" s="3">
        <f t="shared" si="0"/>
        <v>145</v>
      </c>
      <c r="J10" s="3">
        <f t="shared" si="0"/>
        <v>132562251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3">
        <f t="shared" si="0"/>
        <v>0</v>
      </c>
      <c r="Q10" s="3">
        <f t="shared" si="0"/>
        <v>0</v>
      </c>
      <c r="R10" s="3">
        <f t="shared" si="0"/>
        <v>0</v>
      </c>
      <c r="S10" s="3">
        <f t="shared" si="0"/>
        <v>0</v>
      </c>
      <c r="T10" s="3">
        <f t="shared" si="0"/>
        <v>0</v>
      </c>
      <c r="U10" s="3">
        <f t="shared" si="0"/>
        <v>191020</v>
      </c>
      <c r="V10" s="3">
        <f t="shared" si="0"/>
        <v>12297</v>
      </c>
      <c r="W10" s="3">
        <f t="shared" si="0"/>
        <v>15058</v>
      </c>
      <c r="X10" s="3">
        <f>SUM(X11:X25)</f>
        <v>8861</v>
      </c>
      <c r="Y10" s="3">
        <f t="shared" si="0"/>
        <v>49091</v>
      </c>
      <c r="Z10" s="3">
        <f t="shared" si="0"/>
        <v>42289</v>
      </c>
      <c r="AA10" s="3">
        <f t="shared" si="0"/>
        <v>318616</v>
      </c>
      <c r="AB10" s="5">
        <f t="shared" si="0"/>
        <v>132880867</v>
      </c>
    </row>
    <row r="11" spans="1:28" ht="30" customHeight="1">
      <c r="A11" s="10" t="s">
        <v>60</v>
      </c>
      <c r="B11" s="93">
        <f>2792347+1</f>
        <v>2792348</v>
      </c>
      <c r="C11" s="3">
        <v>199403</v>
      </c>
      <c r="D11" s="3"/>
      <c r="E11" s="3"/>
      <c r="F11" s="3"/>
      <c r="G11" s="3">
        <v>41432</v>
      </c>
      <c r="H11" s="3">
        <v>484492</v>
      </c>
      <c r="I11" s="3">
        <v>145</v>
      </c>
      <c r="J11" s="3">
        <f aca="true" t="shared" si="1" ref="J11:J25">SUM(B11:I11)</f>
        <v>3517820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>
        <v>8861</v>
      </c>
      <c r="Y11" s="3">
        <v>49061</v>
      </c>
      <c r="Z11" s="3"/>
      <c r="AA11" s="3">
        <f>SUM(K11:Z11)</f>
        <v>57922</v>
      </c>
      <c r="AB11" s="4">
        <f aca="true" t="shared" si="2" ref="AB11:AB25">SUM(J11,AA11)</f>
        <v>3575742</v>
      </c>
    </row>
    <row r="12" spans="1:28" ht="30" customHeight="1">
      <c r="A12" s="12" t="s">
        <v>61</v>
      </c>
      <c r="B12" s="3"/>
      <c r="C12" s="3"/>
      <c r="D12" s="3"/>
      <c r="E12" s="3"/>
      <c r="F12" s="3"/>
      <c r="G12" s="3"/>
      <c r="H12" s="3"/>
      <c r="I12" s="3"/>
      <c r="J12" s="3">
        <f t="shared" si="1"/>
        <v>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aca="true" t="shared" si="3" ref="AA12:AA25">SUM(K12:Z12)</f>
        <v>0</v>
      </c>
      <c r="AB12" s="4">
        <f t="shared" si="2"/>
        <v>0</v>
      </c>
    </row>
    <row r="13" spans="1:28" ht="30" customHeight="1">
      <c r="A13" s="10" t="s">
        <v>62</v>
      </c>
      <c r="B13" s="3"/>
      <c r="C13" s="3"/>
      <c r="D13" s="3"/>
      <c r="E13" s="3"/>
      <c r="F13" s="3"/>
      <c r="G13" s="3"/>
      <c r="H13" s="3"/>
      <c r="I13" s="3"/>
      <c r="J13" s="3">
        <f t="shared" si="1"/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 t="shared" si="3"/>
        <v>0</v>
      </c>
      <c r="AB13" s="4">
        <f t="shared" si="2"/>
        <v>0</v>
      </c>
    </row>
    <row r="14" spans="1:28" ht="30" customHeight="1">
      <c r="A14" s="10" t="s">
        <v>63</v>
      </c>
      <c r="B14" s="3">
        <v>12872</v>
      </c>
      <c r="C14" s="3">
        <v>49000</v>
      </c>
      <c r="D14" s="3"/>
      <c r="E14" s="3"/>
      <c r="F14" s="3"/>
      <c r="G14" s="3">
        <v>87570</v>
      </c>
      <c r="H14" s="3"/>
      <c r="I14" s="3"/>
      <c r="J14" s="3">
        <f t="shared" si="1"/>
        <v>149442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 t="shared" si="3"/>
        <v>0</v>
      </c>
      <c r="AB14" s="4">
        <f t="shared" si="2"/>
        <v>149442</v>
      </c>
    </row>
    <row r="15" spans="1:28" ht="30" customHeight="1">
      <c r="A15" s="10" t="s">
        <v>64</v>
      </c>
      <c r="B15" s="3">
        <v>3233</v>
      </c>
      <c r="C15" s="3">
        <v>185873</v>
      </c>
      <c r="D15" s="3"/>
      <c r="E15" s="3"/>
      <c r="F15" s="3"/>
      <c r="G15" s="3">
        <v>205298</v>
      </c>
      <c r="H15" s="3">
        <v>3266421</v>
      </c>
      <c r="I15" s="3"/>
      <c r="J15" s="3">
        <f t="shared" si="1"/>
        <v>3660825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>
        <v>30</v>
      </c>
      <c r="Z15" s="3">
        <v>464</v>
      </c>
      <c r="AA15" s="3">
        <f t="shared" si="3"/>
        <v>494</v>
      </c>
      <c r="AB15" s="4">
        <f t="shared" si="2"/>
        <v>3661319</v>
      </c>
    </row>
    <row r="16" spans="1:28" ht="30" customHeight="1">
      <c r="A16" s="10" t="s">
        <v>65</v>
      </c>
      <c r="B16" s="3">
        <v>80511543</v>
      </c>
      <c r="C16" s="3">
        <v>754399</v>
      </c>
      <c r="D16" s="3"/>
      <c r="E16" s="3"/>
      <c r="F16" s="3"/>
      <c r="G16" s="3">
        <v>43870416</v>
      </c>
      <c r="H16" s="3">
        <v>52</v>
      </c>
      <c r="I16" s="3"/>
      <c r="J16" s="3">
        <f t="shared" si="1"/>
        <v>125136410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v>33175</v>
      </c>
      <c r="AA16" s="3">
        <f t="shared" si="3"/>
        <v>33175</v>
      </c>
      <c r="AB16" s="4">
        <f t="shared" si="2"/>
        <v>125169585</v>
      </c>
    </row>
    <row r="17" spans="1:28" ht="30" customHeight="1">
      <c r="A17" s="10" t="s">
        <v>66</v>
      </c>
      <c r="B17" s="3"/>
      <c r="C17" s="3"/>
      <c r="D17" s="3"/>
      <c r="E17" s="3"/>
      <c r="F17" s="3"/>
      <c r="G17" s="3"/>
      <c r="H17" s="3"/>
      <c r="I17" s="3"/>
      <c r="J17" s="3">
        <f t="shared" si="1"/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93">
        <f>191019+1</f>
        <v>191020</v>
      </c>
      <c r="V17" s="3">
        <v>12297</v>
      </c>
      <c r="W17" s="3"/>
      <c r="X17" s="3"/>
      <c r="Y17" s="3"/>
      <c r="Z17" s="3">
        <v>8650</v>
      </c>
      <c r="AA17" s="3">
        <f t="shared" si="3"/>
        <v>211967</v>
      </c>
      <c r="AB17" s="4">
        <f t="shared" si="2"/>
        <v>211967</v>
      </c>
    </row>
    <row r="18" spans="1:28" ht="30" customHeight="1">
      <c r="A18" s="12" t="s">
        <v>67</v>
      </c>
      <c r="B18" s="3"/>
      <c r="C18" s="3"/>
      <c r="D18" s="3"/>
      <c r="E18" s="3"/>
      <c r="F18" s="3"/>
      <c r="G18" s="3"/>
      <c r="H18" s="3"/>
      <c r="I18" s="3"/>
      <c r="J18" s="3">
        <f t="shared" si="1"/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3"/>
        <v>0</v>
      </c>
      <c r="AB18" s="4">
        <f t="shared" si="2"/>
        <v>0</v>
      </c>
    </row>
    <row r="19" spans="1:28" ht="30" customHeight="1">
      <c r="A19" s="12" t="s">
        <v>68</v>
      </c>
      <c r="B19" s="3"/>
      <c r="C19" s="3"/>
      <c r="D19" s="3"/>
      <c r="E19" s="3"/>
      <c r="F19" s="3"/>
      <c r="G19" s="3"/>
      <c r="H19" s="3"/>
      <c r="I19" s="3"/>
      <c r="J19" s="3">
        <f t="shared" si="1"/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3"/>
        <v>0</v>
      </c>
      <c r="AB19" s="4">
        <f t="shared" si="2"/>
        <v>0</v>
      </c>
    </row>
    <row r="20" spans="1:28" ht="30" customHeight="1">
      <c r="A20" s="10" t="s">
        <v>69</v>
      </c>
      <c r="B20" s="3"/>
      <c r="C20" s="3"/>
      <c r="D20" s="3"/>
      <c r="E20" s="3"/>
      <c r="F20" s="3"/>
      <c r="G20" s="3"/>
      <c r="H20" s="3">
        <v>39594</v>
      </c>
      <c r="I20" s="3"/>
      <c r="J20" s="3">
        <f t="shared" si="1"/>
        <v>39594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3"/>
        <v>0</v>
      </c>
      <c r="AB20" s="4">
        <f t="shared" si="2"/>
        <v>39594</v>
      </c>
    </row>
    <row r="21" spans="1:28" ht="30" customHeight="1">
      <c r="A21" s="12" t="s">
        <v>70</v>
      </c>
      <c r="B21" s="3"/>
      <c r="C21" s="3"/>
      <c r="D21" s="3"/>
      <c r="E21" s="3"/>
      <c r="F21" s="3"/>
      <c r="G21" s="3"/>
      <c r="H21" s="3"/>
      <c r="I21" s="3"/>
      <c r="J21" s="3">
        <f t="shared" si="1"/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3"/>
        <v>0</v>
      </c>
      <c r="AB21" s="4">
        <f t="shared" si="2"/>
        <v>0</v>
      </c>
    </row>
    <row r="22" spans="1:28" ht="30" customHeight="1">
      <c r="A22" s="10" t="s">
        <v>71</v>
      </c>
      <c r="B22" s="3"/>
      <c r="C22" s="3"/>
      <c r="D22" s="3"/>
      <c r="E22" s="3"/>
      <c r="F22" s="3"/>
      <c r="G22" s="3"/>
      <c r="H22" s="3"/>
      <c r="I22" s="3"/>
      <c r="J22" s="3">
        <f t="shared" si="1"/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>
        <v>15058</v>
      </c>
      <c r="X22" s="3"/>
      <c r="Y22" s="3"/>
      <c r="Z22" s="3"/>
      <c r="AA22" s="3">
        <f t="shared" si="3"/>
        <v>15058</v>
      </c>
      <c r="AB22" s="4">
        <f t="shared" si="2"/>
        <v>15058</v>
      </c>
    </row>
    <row r="23" spans="1:28" ht="30" customHeight="1">
      <c r="A23" s="10" t="s">
        <v>72</v>
      </c>
      <c r="B23" s="3"/>
      <c r="C23" s="3"/>
      <c r="D23" s="3"/>
      <c r="E23" s="3"/>
      <c r="F23" s="3"/>
      <c r="G23" s="3"/>
      <c r="H23" s="3"/>
      <c r="I23" s="3"/>
      <c r="J23" s="3">
        <f t="shared" si="1"/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>
        <f t="shared" si="3"/>
        <v>0</v>
      </c>
      <c r="AB23" s="4">
        <f t="shared" si="2"/>
        <v>0</v>
      </c>
    </row>
    <row r="24" spans="1:28" ht="30" customHeight="1">
      <c r="A24" s="66" t="s">
        <v>185</v>
      </c>
      <c r="B24" s="3"/>
      <c r="C24" s="3"/>
      <c r="D24" s="3"/>
      <c r="E24" s="3"/>
      <c r="F24" s="3"/>
      <c r="G24" s="3"/>
      <c r="H24" s="3"/>
      <c r="I24" s="3"/>
      <c r="J24" s="3">
        <f>SUM(B24:I24)</f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>
        <f>SUM(K24:Z24)</f>
        <v>0</v>
      </c>
      <c r="AB24" s="4">
        <f t="shared" si="2"/>
        <v>0</v>
      </c>
    </row>
    <row r="25" spans="1:28" ht="30" customHeight="1">
      <c r="A25" s="12" t="s">
        <v>99</v>
      </c>
      <c r="B25" s="3">
        <v>58160</v>
      </c>
      <c r="C25" s="3"/>
      <c r="D25" s="3"/>
      <c r="E25" s="3"/>
      <c r="F25" s="3"/>
      <c r="G25" s="3"/>
      <c r="H25" s="3"/>
      <c r="I25" s="3"/>
      <c r="J25" s="3">
        <f t="shared" si="1"/>
        <v>58160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>
        <f t="shared" si="3"/>
        <v>0</v>
      </c>
      <c r="AB25" s="4">
        <f t="shared" si="2"/>
        <v>58160</v>
      </c>
    </row>
    <row r="26" spans="1:27" ht="48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8" ht="30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85"/>
    </row>
  </sheetData>
  <mergeCells count="1">
    <mergeCell ref="X6:X9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27"/>
  <sheetViews>
    <sheetView zoomScale="75" zoomScaleNormal="75" workbookViewId="0" topLeftCell="A7">
      <pane xSplit="1" ySplit="4" topLeftCell="Q11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ColWidth="9.00390625" defaultRowHeight="15.75"/>
  <cols>
    <col min="1" max="1" width="27.375" style="0" customWidth="1"/>
    <col min="2" max="2" width="10.125" style="83" customWidth="1"/>
    <col min="3" max="3" width="10.00390625" style="83" customWidth="1"/>
    <col min="4" max="4" width="8.75390625" style="83" customWidth="1"/>
    <col min="5" max="6" width="9.00390625" style="83" customWidth="1"/>
    <col min="7" max="7" width="11.00390625" style="83" customWidth="1"/>
    <col min="8" max="8" width="11.50390625" style="83" customWidth="1"/>
    <col min="9" max="9" width="9.00390625" style="83" customWidth="1"/>
    <col min="10" max="10" width="11.50390625" style="83" customWidth="1"/>
    <col min="11" max="12" width="9.875" style="83" customWidth="1"/>
    <col min="13" max="13" width="10.125" style="83" customWidth="1"/>
    <col min="14" max="14" width="11.00390625" style="83" customWidth="1"/>
    <col min="15" max="15" width="11.875" style="83" customWidth="1"/>
    <col min="16" max="16" width="10.625" style="83" customWidth="1"/>
    <col min="17" max="17" width="11.25390625" style="83" customWidth="1"/>
    <col min="18" max="18" width="11.50390625" style="83" customWidth="1"/>
    <col min="19" max="23" width="9.00390625" style="83" customWidth="1"/>
    <col min="24" max="24" width="9.25390625" style="83" customWidth="1"/>
    <col min="25" max="25" width="9.25390625" style="83" bestFit="1" customWidth="1"/>
    <col min="26" max="26" width="9.00390625" style="83" customWidth="1"/>
    <col min="27" max="27" width="10.375" style="83" customWidth="1"/>
    <col min="28" max="28" width="12.25390625" style="83" customWidth="1"/>
  </cols>
  <sheetData>
    <row r="1" spans="5:28" ht="21">
      <c r="E1" s="2"/>
      <c r="F1" s="15" t="s">
        <v>95</v>
      </c>
      <c r="G1" s="16" t="s">
        <v>96</v>
      </c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15" t="s">
        <v>95</v>
      </c>
      <c r="T1" s="16" t="s">
        <v>96</v>
      </c>
      <c r="U1" s="68"/>
      <c r="V1" s="68"/>
      <c r="W1" s="68"/>
      <c r="X1" s="68"/>
      <c r="Y1" s="68"/>
      <c r="Z1" s="68"/>
      <c r="AA1" s="68"/>
      <c r="AB1" s="68"/>
    </row>
    <row r="2" spans="2:28" ht="27.75">
      <c r="B2" s="68"/>
      <c r="C2" s="68"/>
      <c r="D2" s="1"/>
      <c r="E2" s="1"/>
      <c r="F2" s="17" t="s">
        <v>97</v>
      </c>
      <c r="G2" s="18" t="s">
        <v>98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17" t="s">
        <v>97</v>
      </c>
      <c r="T2" s="18" t="s">
        <v>98</v>
      </c>
      <c r="U2" s="68"/>
      <c r="V2" s="68"/>
      <c r="W2" s="68"/>
      <c r="X2" s="68"/>
      <c r="Y2" s="68"/>
      <c r="Z2" s="68"/>
      <c r="AA2" s="68"/>
      <c r="AB2" s="68"/>
    </row>
    <row r="3" spans="2:28" ht="16.5">
      <c r="B3" s="68"/>
      <c r="C3" s="68"/>
      <c r="D3" s="68"/>
      <c r="E3" s="68"/>
      <c r="F3" s="19" t="s">
        <v>126</v>
      </c>
      <c r="G3" s="35" t="s">
        <v>127</v>
      </c>
      <c r="H3" s="68"/>
      <c r="I3" s="68"/>
      <c r="J3" s="68"/>
      <c r="K3" s="68"/>
      <c r="L3" s="68"/>
      <c r="M3" s="20" t="s">
        <v>0</v>
      </c>
      <c r="N3" s="68"/>
      <c r="O3" s="68"/>
      <c r="P3" s="68"/>
      <c r="Q3" s="68"/>
      <c r="R3" s="68"/>
      <c r="S3" s="19" t="s">
        <v>126</v>
      </c>
      <c r="T3" s="35" t="s">
        <v>127</v>
      </c>
      <c r="U3" s="68"/>
      <c r="V3" s="68"/>
      <c r="W3" s="68"/>
      <c r="X3" s="68"/>
      <c r="Y3" s="68"/>
      <c r="Z3" s="68"/>
      <c r="AA3" s="68"/>
      <c r="AB3" s="20" t="s">
        <v>0</v>
      </c>
    </row>
    <row r="4" spans="1:28" ht="30" customHeight="1">
      <c r="A4" s="21" t="s">
        <v>1</v>
      </c>
      <c r="B4" s="22" t="s">
        <v>186</v>
      </c>
      <c r="C4" s="69"/>
      <c r="D4" s="69"/>
      <c r="E4" s="69"/>
      <c r="F4" s="69"/>
      <c r="G4" s="69"/>
      <c r="H4" s="69"/>
      <c r="I4" s="69"/>
      <c r="J4" s="70"/>
      <c r="K4" s="23" t="s">
        <v>187</v>
      </c>
      <c r="L4" s="71"/>
      <c r="M4" s="71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3"/>
      <c r="AB4" s="74"/>
    </row>
    <row r="5" spans="1:28" s="9" customFormat="1" ht="25.5" customHeight="1">
      <c r="A5" s="24" t="s">
        <v>3</v>
      </c>
      <c r="B5" s="25" t="s">
        <v>4</v>
      </c>
      <c r="C5" s="25" t="s">
        <v>5</v>
      </c>
      <c r="D5" s="25" t="s">
        <v>6</v>
      </c>
      <c r="E5" s="25" t="s">
        <v>7</v>
      </c>
      <c r="F5" s="26" t="s">
        <v>188</v>
      </c>
      <c r="G5" s="75"/>
      <c r="H5" s="75"/>
      <c r="I5" s="76"/>
      <c r="J5" s="44" t="s">
        <v>112</v>
      </c>
      <c r="K5" s="26" t="s">
        <v>189</v>
      </c>
      <c r="L5" s="75"/>
      <c r="M5" s="76"/>
      <c r="N5" s="26" t="s">
        <v>190</v>
      </c>
      <c r="O5" s="75"/>
      <c r="P5" s="75"/>
      <c r="Q5" s="76"/>
      <c r="R5" s="25" t="s">
        <v>11</v>
      </c>
      <c r="S5" s="25" t="s">
        <v>12</v>
      </c>
      <c r="T5" s="26" t="s">
        <v>191</v>
      </c>
      <c r="U5" s="75"/>
      <c r="V5" s="75"/>
      <c r="W5" s="75"/>
      <c r="X5" s="75"/>
      <c r="Y5" s="75"/>
      <c r="Z5" s="77"/>
      <c r="AA5" s="25" t="s">
        <v>13</v>
      </c>
      <c r="AB5" s="27" t="s">
        <v>14</v>
      </c>
    </row>
    <row r="6" spans="1:28" ht="16.5">
      <c r="A6" s="10"/>
      <c r="B6" s="80"/>
      <c r="C6" s="28" t="s">
        <v>15</v>
      </c>
      <c r="D6" s="28" t="s">
        <v>16</v>
      </c>
      <c r="E6" s="28" t="s">
        <v>192</v>
      </c>
      <c r="F6" s="80"/>
      <c r="G6" s="80"/>
      <c r="H6" s="80"/>
      <c r="I6" s="80"/>
      <c r="J6" s="28" t="s">
        <v>193</v>
      </c>
      <c r="K6" s="80"/>
      <c r="L6" s="43" t="s">
        <v>194</v>
      </c>
      <c r="M6" s="43" t="s">
        <v>195</v>
      </c>
      <c r="N6" s="80" t="s">
        <v>17</v>
      </c>
      <c r="O6" s="80"/>
      <c r="P6" s="80"/>
      <c r="Q6" s="80"/>
      <c r="R6" s="28" t="s">
        <v>18</v>
      </c>
      <c r="S6" s="28" t="s">
        <v>196</v>
      </c>
      <c r="T6" s="80" t="s">
        <v>17</v>
      </c>
      <c r="U6" s="80" t="s">
        <v>17</v>
      </c>
      <c r="V6" s="80"/>
      <c r="W6" s="80"/>
      <c r="X6" s="107" t="s">
        <v>183</v>
      </c>
      <c r="Y6" s="80"/>
      <c r="Z6" s="80"/>
      <c r="AA6" s="28" t="s">
        <v>197</v>
      </c>
      <c r="AB6" s="81"/>
    </row>
    <row r="7" spans="1:28" ht="16.5">
      <c r="A7" s="10"/>
      <c r="B7" s="28" t="s">
        <v>19</v>
      </c>
      <c r="C7" s="28" t="s">
        <v>198</v>
      </c>
      <c r="D7" s="80"/>
      <c r="E7" s="80" t="s">
        <v>17</v>
      </c>
      <c r="F7" s="28" t="s">
        <v>20</v>
      </c>
      <c r="G7" s="28" t="s">
        <v>21</v>
      </c>
      <c r="H7" s="28" t="s">
        <v>20</v>
      </c>
      <c r="I7" s="28" t="s">
        <v>20</v>
      </c>
      <c r="J7" s="80"/>
      <c r="K7" s="28" t="s">
        <v>22</v>
      </c>
      <c r="L7" s="28" t="s">
        <v>199</v>
      </c>
      <c r="M7" s="28" t="s">
        <v>23</v>
      </c>
      <c r="N7" s="28" t="s">
        <v>20</v>
      </c>
      <c r="O7" s="28" t="s">
        <v>21</v>
      </c>
      <c r="P7" s="28" t="s">
        <v>20</v>
      </c>
      <c r="Q7" s="28" t="s">
        <v>20</v>
      </c>
      <c r="R7" s="80"/>
      <c r="S7" s="80"/>
      <c r="T7" s="28" t="s">
        <v>24</v>
      </c>
      <c r="U7" s="28" t="s">
        <v>25</v>
      </c>
      <c r="V7" s="28" t="s">
        <v>26</v>
      </c>
      <c r="W7" s="28" t="s">
        <v>27</v>
      </c>
      <c r="X7" s="108"/>
      <c r="Y7" s="28" t="s">
        <v>28</v>
      </c>
      <c r="Z7" s="28" t="s">
        <v>29</v>
      </c>
      <c r="AA7" s="80"/>
      <c r="AB7" s="81"/>
    </row>
    <row r="8" spans="1:28" ht="16.5">
      <c r="A8" s="29" t="s">
        <v>30</v>
      </c>
      <c r="B8" s="80"/>
      <c r="C8" s="28" t="s">
        <v>31</v>
      </c>
      <c r="D8" s="28" t="s">
        <v>32</v>
      </c>
      <c r="E8" s="28" t="s">
        <v>200</v>
      </c>
      <c r="F8" s="28" t="s">
        <v>33</v>
      </c>
      <c r="G8" s="28" t="s">
        <v>34</v>
      </c>
      <c r="H8" s="28" t="s">
        <v>35</v>
      </c>
      <c r="I8" s="28" t="s">
        <v>36</v>
      </c>
      <c r="J8" s="28" t="s">
        <v>201</v>
      </c>
      <c r="K8" s="80"/>
      <c r="L8" s="28" t="s">
        <v>202</v>
      </c>
      <c r="M8" s="80"/>
      <c r="N8" s="28" t="s">
        <v>33</v>
      </c>
      <c r="O8" s="28" t="s">
        <v>34</v>
      </c>
      <c r="P8" s="28" t="s">
        <v>35</v>
      </c>
      <c r="Q8" s="28" t="s">
        <v>36</v>
      </c>
      <c r="R8" s="28" t="s">
        <v>37</v>
      </c>
      <c r="S8" s="28" t="s">
        <v>203</v>
      </c>
      <c r="T8" s="80"/>
      <c r="U8" s="28" t="s">
        <v>24</v>
      </c>
      <c r="V8" s="80"/>
      <c r="W8" s="80"/>
      <c r="X8" s="108"/>
      <c r="Y8" s="28" t="s">
        <v>38</v>
      </c>
      <c r="Z8" s="80"/>
      <c r="AA8" s="28" t="s">
        <v>201</v>
      </c>
      <c r="AB8" s="30" t="s">
        <v>39</v>
      </c>
    </row>
    <row r="9" spans="1:28" ht="16.5">
      <c r="A9" s="31" t="s">
        <v>3</v>
      </c>
      <c r="B9" s="32" t="s">
        <v>40</v>
      </c>
      <c r="C9" s="32" t="s">
        <v>41</v>
      </c>
      <c r="D9" s="32" t="s">
        <v>42</v>
      </c>
      <c r="E9" s="32" t="s">
        <v>43</v>
      </c>
      <c r="F9" s="32" t="s">
        <v>44</v>
      </c>
      <c r="G9" s="32" t="s">
        <v>45</v>
      </c>
      <c r="H9" s="32" t="s">
        <v>46</v>
      </c>
      <c r="I9" s="32" t="s">
        <v>47</v>
      </c>
      <c r="J9" s="32" t="s">
        <v>48</v>
      </c>
      <c r="K9" s="32" t="s">
        <v>49</v>
      </c>
      <c r="L9" s="32" t="s">
        <v>204</v>
      </c>
      <c r="M9" s="32" t="s">
        <v>51</v>
      </c>
      <c r="N9" s="32" t="s">
        <v>44</v>
      </c>
      <c r="O9" s="32" t="s">
        <v>205</v>
      </c>
      <c r="P9" s="32" t="s">
        <v>46</v>
      </c>
      <c r="Q9" s="32" t="s">
        <v>47</v>
      </c>
      <c r="R9" s="32" t="s">
        <v>52</v>
      </c>
      <c r="S9" s="32" t="s">
        <v>53</v>
      </c>
      <c r="T9" s="32" t="s">
        <v>54</v>
      </c>
      <c r="U9" s="32" t="s">
        <v>54</v>
      </c>
      <c r="V9" s="32" t="s">
        <v>55</v>
      </c>
      <c r="W9" s="32" t="s">
        <v>56</v>
      </c>
      <c r="X9" s="109"/>
      <c r="Y9" s="32" t="s">
        <v>57</v>
      </c>
      <c r="Z9" s="32" t="s">
        <v>58</v>
      </c>
      <c r="AA9" s="32" t="s">
        <v>48</v>
      </c>
      <c r="AB9" s="82"/>
    </row>
    <row r="10" spans="1:28" ht="30" customHeight="1">
      <c r="A10" s="10" t="s">
        <v>59</v>
      </c>
      <c r="B10" s="3">
        <f aca="true" t="shared" si="0" ref="B10:AB10">SUM(B11:B25)</f>
        <v>1413269</v>
      </c>
      <c r="C10" s="3">
        <f t="shared" si="0"/>
        <v>741574</v>
      </c>
      <c r="D10" s="3">
        <f t="shared" si="0"/>
        <v>0</v>
      </c>
      <c r="E10" s="3">
        <f t="shared" si="0"/>
        <v>0</v>
      </c>
      <c r="F10" s="3">
        <f t="shared" si="0"/>
        <v>313856</v>
      </c>
      <c r="G10" s="3">
        <f t="shared" si="0"/>
        <v>4249421</v>
      </c>
      <c r="H10" s="3">
        <f t="shared" si="0"/>
        <v>0</v>
      </c>
      <c r="I10" s="3">
        <f t="shared" si="0"/>
        <v>906</v>
      </c>
      <c r="J10" s="3">
        <f t="shared" si="0"/>
        <v>6719026</v>
      </c>
      <c r="K10" s="3">
        <f t="shared" si="0"/>
        <v>0</v>
      </c>
      <c r="L10" s="3">
        <f t="shared" si="0"/>
        <v>30199252</v>
      </c>
      <c r="M10" s="3">
        <f t="shared" si="0"/>
        <v>0</v>
      </c>
      <c r="N10" s="3">
        <f t="shared" si="0"/>
        <v>0</v>
      </c>
      <c r="O10" s="3">
        <f t="shared" si="0"/>
        <v>2263183</v>
      </c>
      <c r="P10" s="3">
        <f t="shared" si="0"/>
        <v>0</v>
      </c>
      <c r="Q10" s="3">
        <f t="shared" si="0"/>
        <v>0</v>
      </c>
      <c r="R10" s="3">
        <f t="shared" si="0"/>
        <v>0</v>
      </c>
      <c r="S10" s="3">
        <f t="shared" si="0"/>
        <v>0</v>
      </c>
      <c r="T10" s="3">
        <f t="shared" si="0"/>
        <v>0</v>
      </c>
      <c r="U10" s="3">
        <f t="shared" si="0"/>
        <v>466940</v>
      </c>
      <c r="V10" s="3">
        <f t="shared" si="0"/>
        <v>104472</v>
      </c>
      <c r="W10" s="3">
        <f t="shared" si="0"/>
        <v>1777</v>
      </c>
      <c r="X10" s="3">
        <f>SUM(X11:X25)</f>
        <v>51840</v>
      </c>
      <c r="Y10" s="3">
        <f t="shared" si="0"/>
        <v>58760</v>
      </c>
      <c r="Z10" s="3">
        <f t="shared" si="0"/>
        <v>3090</v>
      </c>
      <c r="AA10" s="3">
        <f t="shared" si="0"/>
        <v>33149314</v>
      </c>
      <c r="AB10" s="5">
        <f t="shared" si="0"/>
        <v>39868340</v>
      </c>
    </row>
    <row r="11" spans="1:28" ht="30" customHeight="1">
      <c r="A11" s="10" t="s">
        <v>60</v>
      </c>
      <c r="B11" s="3">
        <v>306725</v>
      </c>
      <c r="C11" s="3">
        <v>53158</v>
      </c>
      <c r="D11" s="3"/>
      <c r="E11" s="3"/>
      <c r="F11" s="3"/>
      <c r="G11" s="3">
        <v>4191434</v>
      </c>
      <c r="H11" s="3"/>
      <c r="I11" s="3"/>
      <c r="J11" s="3">
        <f aca="true" t="shared" si="1" ref="J11:J25">SUM(B11:I11)</f>
        <v>4551317</v>
      </c>
      <c r="K11" s="3"/>
      <c r="L11" s="3">
        <v>27798273</v>
      </c>
      <c r="M11" s="3"/>
      <c r="N11" s="3"/>
      <c r="O11" s="3">
        <v>2263183</v>
      </c>
      <c r="P11" s="3"/>
      <c r="Q11" s="3"/>
      <c r="R11" s="3"/>
      <c r="S11" s="3"/>
      <c r="T11" s="3"/>
      <c r="U11" s="3"/>
      <c r="V11" s="3"/>
      <c r="W11" s="3">
        <v>1003</v>
      </c>
      <c r="X11" s="3">
        <v>29120</v>
      </c>
      <c r="Y11" s="3">
        <v>7997</v>
      </c>
      <c r="Z11" s="3"/>
      <c r="AA11" s="3">
        <f>SUM(K11:Z11)</f>
        <v>30099576</v>
      </c>
      <c r="AB11" s="4">
        <f aca="true" t="shared" si="2" ref="AB11:AB25">SUM(J11,AA11)</f>
        <v>34650893</v>
      </c>
    </row>
    <row r="12" spans="1:28" ht="30" customHeight="1">
      <c r="A12" s="12" t="s">
        <v>61</v>
      </c>
      <c r="B12" s="3"/>
      <c r="C12" s="3"/>
      <c r="D12" s="3"/>
      <c r="E12" s="3"/>
      <c r="F12" s="3"/>
      <c r="G12" s="3"/>
      <c r="H12" s="3"/>
      <c r="I12" s="3"/>
      <c r="J12" s="3">
        <f t="shared" si="1"/>
        <v>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aca="true" t="shared" si="3" ref="AA12:AA25">SUM(K12:Z12)</f>
        <v>0</v>
      </c>
      <c r="AB12" s="4">
        <f t="shared" si="2"/>
        <v>0</v>
      </c>
    </row>
    <row r="13" spans="1:28" ht="30" customHeight="1">
      <c r="A13" s="10" t="s">
        <v>62</v>
      </c>
      <c r="B13" s="3"/>
      <c r="C13" s="3"/>
      <c r="D13" s="3"/>
      <c r="E13" s="3"/>
      <c r="F13" s="3"/>
      <c r="G13" s="3"/>
      <c r="H13" s="3"/>
      <c r="I13" s="3"/>
      <c r="J13" s="3">
        <f t="shared" si="1"/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 t="shared" si="3"/>
        <v>0</v>
      </c>
      <c r="AB13" s="4">
        <f t="shared" si="2"/>
        <v>0</v>
      </c>
    </row>
    <row r="14" spans="1:28" ht="30" customHeight="1">
      <c r="A14" s="10" t="s">
        <v>63</v>
      </c>
      <c r="B14" s="3">
        <v>495170</v>
      </c>
      <c r="C14" s="3">
        <v>47389</v>
      </c>
      <c r="D14" s="3"/>
      <c r="E14" s="3"/>
      <c r="F14" s="3"/>
      <c r="G14" s="3">
        <v>221</v>
      </c>
      <c r="H14" s="3"/>
      <c r="I14" s="3">
        <v>491</v>
      </c>
      <c r="J14" s="3">
        <f t="shared" si="1"/>
        <v>543271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>
        <v>231393</v>
      </c>
      <c r="V14" s="3">
        <v>28117</v>
      </c>
      <c r="W14" s="3">
        <v>28</v>
      </c>
      <c r="X14" s="3">
        <v>1894</v>
      </c>
      <c r="Y14" s="3">
        <v>22596</v>
      </c>
      <c r="Z14" s="3"/>
      <c r="AA14" s="3">
        <f t="shared" si="3"/>
        <v>284028</v>
      </c>
      <c r="AB14" s="4">
        <f t="shared" si="2"/>
        <v>827299</v>
      </c>
    </row>
    <row r="15" spans="1:28" ht="30" customHeight="1">
      <c r="A15" s="10" t="s">
        <v>64</v>
      </c>
      <c r="B15" s="3"/>
      <c r="C15" s="3"/>
      <c r="D15" s="3"/>
      <c r="E15" s="3"/>
      <c r="F15" s="3"/>
      <c r="G15" s="3"/>
      <c r="H15" s="3"/>
      <c r="I15" s="3"/>
      <c r="J15" s="3">
        <f t="shared" si="1"/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>
        <f t="shared" si="3"/>
        <v>0</v>
      </c>
      <c r="AB15" s="4">
        <f t="shared" si="2"/>
        <v>0</v>
      </c>
    </row>
    <row r="16" spans="1:28" ht="30" customHeight="1">
      <c r="A16" s="10" t="s">
        <v>65</v>
      </c>
      <c r="B16" s="3">
        <v>67991</v>
      </c>
      <c r="C16" s="3"/>
      <c r="D16" s="3"/>
      <c r="E16" s="3"/>
      <c r="F16" s="3"/>
      <c r="G16" s="3">
        <v>93</v>
      </c>
      <c r="H16" s="3"/>
      <c r="I16" s="3"/>
      <c r="J16" s="3">
        <f t="shared" si="1"/>
        <v>68084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>
        <f t="shared" si="3"/>
        <v>0</v>
      </c>
      <c r="AB16" s="4">
        <f t="shared" si="2"/>
        <v>68084</v>
      </c>
    </row>
    <row r="17" spans="1:28" ht="30" customHeight="1">
      <c r="A17" s="10" t="s">
        <v>66</v>
      </c>
      <c r="B17" s="3"/>
      <c r="C17" s="3"/>
      <c r="D17" s="3"/>
      <c r="E17" s="3"/>
      <c r="F17" s="3"/>
      <c r="G17" s="3"/>
      <c r="H17" s="3"/>
      <c r="I17" s="3"/>
      <c r="J17" s="3">
        <f t="shared" si="1"/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>
        <f t="shared" si="3"/>
        <v>0</v>
      </c>
      <c r="AB17" s="4">
        <f t="shared" si="2"/>
        <v>0</v>
      </c>
    </row>
    <row r="18" spans="1:28" ht="30" customHeight="1">
      <c r="A18" s="12" t="s">
        <v>67</v>
      </c>
      <c r="B18" s="3"/>
      <c r="C18" s="3"/>
      <c r="D18" s="3"/>
      <c r="E18" s="3"/>
      <c r="F18" s="3"/>
      <c r="G18" s="3"/>
      <c r="H18" s="3"/>
      <c r="I18" s="3"/>
      <c r="J18" s="3">
        <f t="shared" si="1"/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3"/>
        <v>0</v>
      </c>
      <c r="AB18" s="4">
        <f t="shared" si="2"/>
        <v>0</v>
      </c>
    </row>
    <row r="19" spans="1:28" ht="30" customHeight="1">
      <c r="A19" s="12" t="s">
        <v>68</v>
      </c>
      <c r="B19" s="3"/>
      <c r="C19" s="3"/>
      <c r="D19" s="3"/>
      <c r="E19" s="3"/>
      <c r="F19" s="3"/>
      <c r="G19" s="3"/>
      <c r="H19" s="3"/>
      <c r="I19" s="3"/>
      <c r="J19" s="3">
        <f t="shared" si="1"/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3"/>
        <v>0</v>
      </c>
      <c r="AB19" s="4">
        <f t="shared" si="2"/>
        <v>0</v>
      </c>
    </row>
    <row r="20" spans="1:28" ht="30" customHeight="1">
      <c r="A20" s="10" t="s">
        <v>69</v>
      </c>
      <c r="B20" s="3"/>
      <c r="C20" s="3"/>
      <c r="D20" s="3"/>
      <c r="E20" s="3"/>
      <c r="F20" s="3"/>
      <c r="G20" s="3"/>
      <c r="H20" s="3"/>
      <c r="I20" s="3"/>
      <c r="J20" s="3">
        <f t="shared" si="1"/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3"/>
        <v>0</v>
      </c>
      <c r="AB20" s="4">
        <f t="shared" si="2"/>
        <v>0</v>
      </c>
    </row>
    <row r="21" spans="1:28" ht="30" customHeight="1">
      <c r="A21" s="12" t="s">
        <v>70</v>
      </c>
      <c r="B21" s="3"/>
      <c r="C21" s="3"/>
      <c r="D21" s="3"/>
      <c r="E21" s="3"/>
      <c r="F21" s="3"/>
      <c r="G21" s="3"/>
      <c r="H21" s="3"/>
      <c r="I21" s="3"/>
      <c r="J21" s="3">
        <f t="shared" si="1"/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3"/>
        <v>0</v>
      </c>
      <c r="AB21" s="4">
        <f t="shared" si="2"/>
        <v>0</v>
      </c>
    </row>
    <row r="22" spans="1:28" ht="30" customHeight="1">
      <c r="A22" s="10" t="s">
        <v>71</v>
      </c>
      <c r="B22" s="3"/>
      <c r="C22" s="3"/>
      <c r="D22" s="3"/>
      <c r="E22" s="3"/>
      <c r="F22" s="3"/>
      <c r="G22" s="3"/>
      <c r="H22" s="3"/>
      <c r="I22" s="3"/>
      <c r="J22" s="3">
        <f t="shared" si="1"/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>
        <f t="shared" si="3"/>
        <v>0</v>
      </c>
      <c r="AB22" s="4">
        <f t="shared" si="2"/>
        <v>0</v>
      </c>
    </row>
    <row r="23" spans="1:28" ht="30" customHeight="1">
      <c r="A23" s="10" t="s">
        <v>72</v>
      </c>
      <c r="B23" s="3">
        <v>528538</v>
      </c>
      <c r="C23" s="3">
        <v>641027</v>
      </c>
      <c r="D23" s="3"/>
      <c r="E23" s="3"/>
      <c r="F23" s="3">
        <v>313856</v>
      </c>
      <c r="G23" s="3">
        <v>57673</v>
      </c>
      <c r="H23" s="3"/>
      <c r="I23" s="3">
        <v>415</v>
      </c>
      <c r="J23" s="3">
        <f t="shared" si="1"/>
        <v>1541509</v>
      </c>
      <c r="K23" s="3"/>
      <c r="L23" s="3">
        <v>2400979</v>
      </c>
      <c r="M23" s="3"/>
      <c r="N23" s="3"/>
      <c r="O23" s="3"/>
      <c r="P23" s="3"/>
      <c r="Q23" s="3"/>
      <c r="R23" s="3"/>
      <c r="S23" s="3"/>
      <c r="T23" s="3"/>
      <c r="U23" s="3">
        <v>235547</v>
      </c>
      <c r="V23" s="3">
        <v>76355</v>
      </c>
      <c r="W23" s="3">
        <v>746</v>
      </c>
      <c r="X23" s="3">
        <v>20826</v>
      </c>
      <c r="Y23" s="3">
        <v>28167</v>
      </c>
      <c r="Z23" s="3">
        <v>3090</v>
      </c>
      <c r="AA23" s="3">
        <f t="shared" si="3"/>
        <v>2765710</v>
      </c>
      <c r="AB23" s="4">
        <f t="shared" si="2"/>
        <v>4307219</v>
      </c>
    </row>
    <row r="24" spans="1:28" ht="30" customHeight="1">
      <c r="A24" s="66" t="s">
        <v>185</v>
      </c>
      <c r="B24" s="3"/>
      <c r="C24" s="3"/>
      <c r="D24" s="3"/>
      <c r="E24" s="3"/>
      <c r="F24" s="3"/>
      <c r="G24" s="3"/>
      <c r="H24" s="3"/>
      <c r="I24" s="3"/>
      <c r="J24" s="3">
        <f>SUM(B24:I24)</f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>
        <f>SUM(K24:Z24)</f>
        <v>0</v>
      </c>
      <c r="AB24" s="4">
        <f t="shared" si="2"/>
        <v>0</v>
      </c>
    </row>
    <row r="25" spans="1:28" ht="30" customHeight="1">
      <c r="A25" s="12" t="s">
        <v>99</v>
      </c>
      <c r="B25" s="3">
        <v>14845</v>
      </c>
      <c r="C25" s="3"/>
      <c r="D25" s="3"/>
      <c r="E25" s="3"/>
      <c r="F25" s="3"/>
      <c r="G25" s="3"/>
      <c r="H25" s="3"/>
      <c r="I25" s="3"/>
      <c r="J25" s="3">
        <f t="shared" si="1"/>
        <v>14845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>
        <f t="shared" si="3"/>
        <v>0</v>
      </c>
      <c r="AB25" s="4">
        <f t="shared" si="2"/>
        <v>14845</v>
      </c>
    </row>
    <row r="26" spans="1:27" ht="48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8" ht="30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85"/>
    </row>
  </sheetData>
  <mergeCells count="1">
    <mergeCell ref="X6:X9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27"/>
  <sheetViews>
    <sheetView zoomScale="75" zoomScaleNormal="75" workbookViewId="0" topLeftCell="A6">
      <pane xSplit="1" ySplit="5" topLeftCell="O11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ColWidth="9.00390625" defaultRowHeight="15.75"/>
  <cols>
    <col min="1" max="1" width="27.375" style="0" customWidth="1"/>
    <col min="2" max="2" width="10.125" style="83" customWidth="1"/>
    <col min="3" max="3" width="10.00390625" style="83" customWidth="1"/>
    <col min="4" max="4" width="8.75390625" style="83" customWidth="1"/>
    <col min="5" max="6" width="9.00390625" style="83" customWidth="1"/>
    <col min="7" max="7" width="11.00390625" style="83" customWidth="1"/>
    <col min="8" max="8" width="11.50390625" style="83" customWidth="1"/>
    <col min="9" max="9" width="9.00390625" style="83" customWidth="1"/>
    <col min="10" max="10" width="11.50390625" style="83" customWidth="1"/>
    <col min="11" max="12" width="9.875" style="83" customWidth="1"/>
    <col min="13" max="13" width="10.125" style="83" customWidth="1"/>
    <col min="14" max="14" width="11.00390625" style="83" customWidth="1"/>
    <col min="15" max="15" width="11.875" style="83" customWidth="1"/>
    <col min="16" max="16" width="10.625" style="83" customWidth="1"/>
    <col min="17" max="17" width="11.25390625" style="83" customWidth="1"/>
    <col min="18" max="18" width="11.50390625" style="83" customWidth="1"/>
    <col min="19" max="26" width="9.00390625" style="83" customWidth="1"/>
    <col min="27" max="27" width="10.375" style="83" customWidth="1"/>
    <col min="28" max="28" width="12.25390625" style="83" customWidth="1"/>
  </cols>
  <sheetData>
    <row r="1" spans="5:28" ht="21">
      <c r="E1" s="2"/>
      <c r="F1" s="15" t="s">
        <v>95</v>
      </c>
      <c r="G1" s="16" t="s">
        <v>96</v>
      </c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15" t="s">
        <v>95</v>
      </c>
      <c r="T1" s="16" t="s">
        <v>96</v>
      </c>
      <c r="U1" s="68"/>
      <c r="V1" s="68"/>
      <c r="W1" s="68"/>
      <c r="X1" s="68"/>
      <c r="Y1" s="68"/>
      <c r="Z1" s="68"/>
      <c r="AA1" s="68"/>
      <c r="AB1" s="68"/>
    </row>
    <row r="2" spans="2:28" ht="27.75">
      <c r="B2" s="68"/>
      <c r="C2" s="68"/>
      <c r="D2" s="1"/>
      <c r="E2" s="1"/>
      <c r="F2" s="17" t="s">
        <v>97</v>
      </c>
      <c r="G2" s="18" t="s">
        <v>98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17" t="s">
        <v>97</v>
      </c>
      <c r="T2" s="18" t="s">
        <v>98</v>
      </c>
      <c r="U2" s="68"/>
      <c r="V2" s="68"/>
      <c r="W2" s="68"/>
      <c r="X2" s="68"/>
      <c r="Y2" s="68"/>
      <c r="Z2" s="68"/>
      <c r="AA2" s="68"/>
      <c r="AB2" s="68"/>
    </row>
    <row r="3" spans="2:28" ht="16.5">
      <c r="B3" s="68"/>
      <c r="C3" s="68"/>
      <c r="D3" s="68"/>
      <c r="E3" s="68"/>
      <c r="F3" s="19" t="s">
        <v>126</v>
      </c>
      <c r="G3" s="35" t="s">
        <v>127</v>
      </c>
      <c r="H3" s="68"/>
      <c r="I3" s="68"/>
      <c r="J3" s="68"/>
      <c r="K3" s="68"/>
      <c r="L3" s="68"/>
      <c r="M3" s="20" t="s">
        <v>0</v>
      </c>
      <c r="N3" s="68"/>
      <c r="O3" s="68"/>
      <c r="P3" s="68"/>
      <c r="Q3" s="68"/>
      <c r="R3" s="68"/>
      <c r="S3" s="19" t="s">
        <v>126</v>
      </c>
      <c r="T3" s="35" t="s">
        <v>127</v>
      </c>
      <c r="U3" s="68"/>
      <c r="V3" s="68"/>
      <c r="W3" s="68"/>
      <c r="X3" s="68"/>
      <c r="Y3" s="68"/>
      <c r="Z3" s="68"/>
      <c r="AA3" s="68"/>
      <c r="AB3" s="20" t="s">
        <v>0</v>
      </c>
    </row>
    <row r="4" spans="1:28" ht="30" customHeight="1">
      <c r="A4" s="21" t="s">
        <v>1</v>
      </c>
      <c r="B4" s="22" t="s">
        <v>186</v>
      </c>
      <c r="C4" s="69"/>
      <c r="D4" s="69"/>
      <c r="E4" s="69"/>
      <c r="F4" s="69"/>
      <c r="G4" s="69"/>
      <c r="H4" s="69"/>
      <c r="I4" s="69"/>
      <c r="J4" s="70"/>
      <c r="K4" s="23" t="s">
        <v>187</v>
      </c>
      <c r="L4" s="71"/>
      <c r="M4" s="71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3"/>
      <c r="AB4" s="74"/>
    </row>
    <row r="5" spans="1:28" s="9" customFormat="1" ht="25.5" customHeight="1">
      <c r="A5" s="24" t="s">
        <v>3</v>
      </c>
      <c r="B5" s="25" t="s">
        <v>4</v>
      </c>
      <c r="C5" s="25" t="s">
        <v>5</v>
      </c>
      <c r="D5" s="25" t="s">
        <v>6</v>
      </c>
      <c r="E5" s="25" t="s">
        <v>7</v>
      </c>
      <c r="F5" s="26" t="s">
        <v>188</v>
      </c>
      <c r="G5" s="75"/>
      <c r="H5" s="75"/>
      <c r="I5" s="76"/>
      <c r="J5" s="44" t="s">
        <v>112</v>
      </c>
      <c r="K5" s="26" t="s">
        <v>189</v>
      </c>
      <c r="L5" s="75"/>
      <c r="M5" s="76"/>
      <c r="N5" s="26" t="s">
        <v>190</v>
      </c>
      <c r="O5" s="75"/>
      <c r="P5" s="75"/>
      <c r="Q5" s="76"/>
      <c r="R5" s="25" t="s">
        <v>11</v>
      </c>
      <c r="S5" s="25" t="s">
        <v>12</v>
      </c>
      <c r="T5" s="26" t="s">
        <v>191</v>
      </c>
      <c r="U5" s="75"/>
      <c r="V5" s="75"/>
      <c r="W5" s="75"/>
      <c r="X5" s="75"/>
      <c r="Y5" s="75"/>
      <c r="Z5" s="77"/>
      <c r="AA5" s="25" t="s">
        <v>13</v>
      </c>
      <c r="AB5" s="27" t="s">
        <v>14</v>
      </c>
    </row>
    <row r="6" spans="1:28" ht="16.5">
      <c r="A6" s="10"/>
      <c r="B6" s="80"/>
      <c r="C6" s="28" t="s">
        <v>15</v>
      </c>
      <c r="D6" s="28" t="s">
        <v>16</v>
      </c>
      <c r="E6" s="28" t="s">
        <v>192</v>
      </c>
      <c r="F6" s="80"/>
      <c r="G6" s="80"/>
      <c r="H6" s="80"/>
      <c r="I6" s="80"/>
      <c r="J6" s="28" t="s">
        <v>193</v>
      </c>
      <c r="K6" s="80"/>
      <c r="L6" s="43" t="s">
        <v>194</v>
      </c>
      <c r="M6" s="43" t="s">
        <v>195</v>
      </c>
      <c r="N6" s="80" t="s">
        <v>17</v>
      </c>
      <c r="O6" s="80"/>
      <c r="P6" s="80"/>
      <c r="Q6" s="80"/>
      <c r="R6" s="28" t="s">
        <v>18</v>
      </c>
      <c r="S6" s="28" t="s">
        <v>196</v>
      </c>
      <c r="T6" s="80" t="s">
        <v>17</v>
      </c>
      <c r="U6" s="80" t="s">
        <v>17</v>
      </c>
      <c r="V6" s="80"/>
      <c r="W6" s="80"/>
      <c r="X6" s="107" t="s">
        <v>183</v>
      </c>
      <c r="Y6" s="80"/>
      <c r="Z6" s="80"/>
      <c r="AA6" s="28" t="s">
        <v>197</v>
      </c>
      <c r="AB6" s="81"/>
    </row>
    <row r="7" spans="1:28" ht="16.5">
      <c r="A7" s="10"/>
      <c r="B7" s="28" t="s">
        <v>19</v>
      </c>
      <c r="C7" s="28" t="s">
        <v>198</v>
      </c>
      <c r="D7" s="80"/>
      <c r="E7" s="80" t="s">
        <v>17</v>
      </c>
      <c r="F7" s="28" t="s">
        <v>20</v>
      </c>
      <c r="G7" s="28" t="s">
        <v>21</v>
      </c>
      <c r="H7" s="28" t="s">
        <v>20</v>
      </c>
      <c r="I7" s="28" t="s">
        <v>20</v>
      </c>
      <c r="J7" s="80"/>
      <c r="K7" s="28" t="s">
        <v>22</v>
      </c>
      <c r="L7" s="28" t="s">
        <v>199</v>
      </c>
      <c r="M7" s="28" t="s">
        <v>23</v>
      </c>
      <c r="N7" s="28" t="s">
        <v>20</v>
      </c>
      <c r="O7" s="28" t="s">
        <v>21</v>
      </c>
      <c r="P7" s="28" t="s">
        <v>20</v>
      </c>
      <c r="Q7" s="28" t="s">
        <v>20</v>
      </c>
      <c r="R7" s="80"/>
      <c r="S7" s="80"/>
      <c r="T7" s="28" t="s">
        <v>24</v>
      </c>
      <c r="U7" s="28" t="s">
        <v>25</v>
      </c>
      <c r="V7" s="28" t="s">
        <v>26</v>
      </c>
      <c r="W7" s="28" t="s">
        <v>27</v>
      </c>
      <c r="X7" s="108"/>
      <c r="Y7" s="28" t="s">
        <v>28</v>
      </c>
      <c r="Z7" s="28" t="s">
        <v>29</v>
      </c>
      <c r="AA7" s="80"/>
      <c r="AB7" s="81"/>
    </row>
    <row r="8" spans="1:28" ht="16.5">
      <c r="A8" s="29" t="s">
        <v>30</v>
      </c>
      <c r="B8" s="80"/>
      <c r="C8" s="28" t="s">
        <v>31</v>
      </c>
      <c r="D8" s="28" t="s">
        <v>32</v>
      </c>
      <c r="E8" s="28" t="s">
        <v>200</v>
      </c>
      <c r="F8" s="28" t="s">
        <v>33</v>
      </c>
      <c r="G8" s="28" t="s">
        <v>34</v>
      </c>
      <c r="H8" s="28" t="s">
        <v>35</v>
      </c>
      <c r="I8" s="28" t="s">
        <v>36</v>
      </c>
      <c r="J8" s="28" t="s">
        <v>201</v>
      </c>
      <c r="K8" s="80"/>
      <c r="L8" s="28" t="s">
        <v>202</v>
      </c>
      <c r="M8" s="80"/>
      <c r="N8" s="28" t="s">
        <v>33</v>
      </c>
      <c r="O8" s="28" t="s">
        <v>34</v>
      </c>
      <c r="P8" s="28" t="s">
        <v>35</v>
      </c>
      <c r="Q8" s="28" t="s">
        <v>36</v>
      </c>
      <c r="R8" s="28" t="s">
        <v>37</v>
      </c>
      <c r="S8" s="28" t="s">
        <v>203</v>
      </c>
      <c r="T8" s="80"/>
      <c r="U8" s="28" t="s">
        <v>24</v>
      </c>
      <c r="V8" s="80"/>
      <c r="W8" s="80"/>
      <c r="X8" s="108"/>
      <c r="Y8" s="28" t="s">
        <v>38</v>
      </c>
      <c r="Z8" s="80"/>
      <c r="AA8" s="28" t="s">
        <v>201</v>
      </c>
      <c r="AB8" s="30" t="s">
        <v>39</v>
      </c>
    </row>
    <row r="9" spans="1:28" ht="16.5">
      <c r="A9" s="31" t="s">
        <v>3</v>
      </c>
      <c r="B9" s="32" t="s">
        <v>40</v>
      </c>
      <c r="C9" s="32" t="s">
        <v>41</v>
      </c>
      <c r="D9" s="32" t="s">
        <v>42</v>
      </c>
      <c r="E9" s="32" t="s">
        <v>43</v>
      </c>
      <c r="F9" s="32" t="s">
        <v>44</v>
      </c>
      <c r="G9" s="32" t="s">
        <v>45</v>
      </c>
      <c r="H9" s="32" t="s">
        <v>46</v>
      </c>
      <c r="I9" s="32" t="s">
        <v>47</v>
      </c>
      <c r="J9" s="32" t="s">
        <v>48</v>
      </c>
      <c r="K9" s="32" t="s">
        <v>49</v>
      </c>
      <c r="L9" s="32" t="s">
        <v>204</v>
      </c>
      <c r="M9" s="32" t="s">
        <v>51</v>
      </c>
      <c r="N9" s="32" t="s">
        <v>44</v>
      </c>
      <c r="O9" s="32" t="s">
        <v>205</v>
      </c>
      <c r="P9" s="32" t="s">
        <v>46</v>
      </c>
      <c r="Q9" s="32" t="s">
        <v>47</v>
      </c>
      <c r="R9" s="32" t="s">
        <v>52</v>
      </c>
      <c r="S9" s="32" t="s">
        <v>53</v>
      </c>
      <c r="T9" s="32" t="s">
        <v>54</v>
      </c>
      <c r="U9" s="32" t="s">
        <v>54</v>
      </c>
      <c r="V9" s="32" t="s">
        <v>55</v>
      </c>
      <c r="W9" s="32" t="s">
        <v>56</v>
      </c>
      <c r="X9" s="109"/>
      <c r="Y9" s="32" t="s">
        <v>57</v>
      </c>
      <c r="Z9" s="32" t="s">
        <v>58</v>
      </c>
      <c r="AA9" s="32" t="s">
        <v>48</v>
      </c>
      <c r="AB9" s="82"/>
    </row>
    <row r="10" spans="1:28" ht="30" customHeight="1">
      <c r="A10" s="10" t="s">
        <v>59</v>
      </c>
      <c r="B10" s="3">
        <f aca="true" t="shared" si="0" ref="B10:AB10">SUM(B11:B25)</f>
        <v>1920060</v>
      </c>
      <c r="C10" s="3">
        <f t="shared" si="0"/>
        <v>752589</v>
      </c>
      <c r="D10" s="3">
        <f t="shared" si="0"/>
        <v>0</v>
      </c>
      <c r="E10" s="3">
        <f t="shared" si="0"/>
        <v>692</v>
      </c>
      <c r="F10" s="3">
        <f t="shared" si="0"/>
        <v>0</v>
      </c>
      <c r="G10" s="3">
        <f t="shared" si="0"/>
        <v>4385</v>
      </c>
      <c r="H10" s="3">
        <f t="shared" si="0"/>
        <v>0</v>
      </c>
      <c r="I10" s="3">
        <f t="shared" si="0"/>
        <v>892</v>
      </c>
      <c r="J10" s="3">
        <f t="shared" si="0"/>
        <v>2678618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3">
        <f t="shared" si="0"/>
        <v>0</v>
      </c>
      <c r="Q10" s="3">
        <f t="shared" si="0"/>
        <v>0</v>
      </c>
      <c r="R10" s="3">
        <f t="shared" si="0"/>
        <v>0</v>
      </c>
      <c r="S10" s="3">
        <f t="shared" si="0"/>
        <v>0</v>
      </c>
      <c r="T10" s="3">
        <f t="shared" si="0"/>
        <v>0</v>
      </c>
      <c r="U10" s="3">
        <f t="shared" si="0"/>
        <v>1440</v>
      </c>
      <c r="V10" s="3">
        <f t="shared" si="0"/>
        <v>0</v>
      </c>
      <c r="W10" s="3">
        <f t="shared" si="0"/>
        <v>2370</v>
      </c>
      <c r="X10" s="3">
        <f>SUM(X11:X25)</f>
        <v>43546</v>
      </c>
      <c r="Y10" s="3">
        <f t="shared" si="0"/>
        <v>836836</v>
      </c>
      <c r="Z10" s="3">
        <f t="shared" si="0"/>
        <v>0</v>
      </c>
      <c r="AA10" s="3">
        <f t="shared" si="0"/>
        <v>884192</v>
      </c>
      <c r="AB10" s="5">
        <f t="shared" si="0"/>
        <v>3562810</v>
      </c>
    </row>
    <row r="11" spans="1:28" ht="30" customHeight="1">
      <c r="A11" s="10" t="s">
        <v>60</v>
      </c>
      <c r="B11" s="3">
        <v>1395935</v>
      </c>
      <c r="C11" s="3">
        <v>683458</v>
      </c>
      <c r="D11" s="3"/>
      <c r="E11" s="3">
        <v>692</v>
      </c>
      <c r="F11" s="3"/>
      <c r="G11" s="3">
        <v>3895</v>
      </c>
      <c r="H11" s="3"/>
      <c r="I11" s="3">
        <v>294</v>
      </c>
      <c r="J11" s="3">
        <f aca="true" t="shared" si="1" ref="J11:J25">SUM(B11:I11)</f>
        <v>2084274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>
        <v>1440</v>
      </c>
      <c r="V11" s="3"/>
      <c r="W11" s="3">
        <v>1091</v>
      </c>
      <c r="X11" s="3">
        <v>42374</v>
      </c>
      <c r="Y11" s="93">
        <f>832787-2000</f>
        <v>830787</v>
      </c>
      <c r="Z11" s="3"/>
      <c r="AA11" s="3">
        <f>SUM(K11:Z11)</f>
        <v>875692</v>
      </c>
      <c r="AB11" s="4">
        <f aca="true" t="shared" si="2" ref="AB11:AB25">SUM(J11,AA11)</f>
        <v>2959966</v>
      </c>
    </row>
    <row r="12" spans="1:28" ht="30" customHeight="1">
      <c r="A12" s="12" t="s">
        <v>61</v>
      </c>
      <c r="B12" s="3"/>
      <c r="C12" s="3"/>
      <c r="D12" s="3"/>
      <c r="E12" s="3"/>
      <c r="F12" s="3"/>
      <c r="G12" s="3"/>
      <c r="H12" s="3"/>
      <c r="I12" s="3"/>
      <c r="J12" s="3">
        <f t="shared" si="1"/>
        <v>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aca="true" t="shared" si="3" ref="AA12:AA25">SUM(K12:Z12)</f>
        <v>0</v>
      </c>
      <c r="AB12" s="4">
        <f t="shared" si="2"/>
        <v>0</v>
      </c>
    </row>
    <row r="13" spans="1:28" ht="30" customHeight="1">
      <c r="A13" s="10" t="s">
        <v>62</v>
      </c>
      <c r="B13" s="3"/>
      <c r="C13" s="3"/>
      <c r="D13" s="3"/>
      <c r="E13" s="3"/>
      <c r="F13" s="3"/>
      <c r="G13" s="3"/>
      <c r="H13" s="3"/>
      <c r="I13" s="3"/>
      <c r="J13" s="3">
        <f t="shared" si="1"/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 t="shared" si="3"/>
        <v>0</v>
      </c>
      <c r="AB13" s="4">
        <f t="shared" si="2"/>
        <v>0</v>
      </c>
    </row>
    <row r="14" spans="1:28" ht="30" customHeight="1">
      <c r="A14" s="10" t="s">
        <v>63</v>
      </c>
      <c r="B14" s="3"/>
      <c r="C14" s="3"/>
      <c r="D14" s="3"/>
      <c r="E14" s="3"/>
      <c r="F14" s="3"/>
      <c r="G14" s="3"/>
      <c r="H14" s="3"/>
      <c r="I14" s="3"/>
      <c r="J14" s="3">
        <f t="shared" si="1"/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 t="shared" si="3"/>
        <v>0</v>
      </c>
      <c r="AB14" s="4">
        <f t="shared" si="2"/>
        <v>0</v>
      </c>
    </row>
    <row r="15" spans="1:28" ht="30" customHeight="1">
      <c r="A15" s="10" t="s">
        <v>64</v>
      </c>
      <c r="B15" s="3"/>
      <c r="C15" s="3"/>
      <c r="D15" s="3"/>
      <c r="E15" s="3"/>
      <c r="F15" s="3"/>
      <c r="G15" s="3"/>
      <c r="H15" s="3"/>
      <c r="I15" s="3"/>
      <c r="J15" s="3">
        <f t="shared" si="1"/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>
        <f t="shared" si="3"/>
        <v>0</v>
      </c>
      <c r="AB15" s="4">
        <f t="shared" si="2"/>
        <v>0</v>
      </c>
    </row>
    <row r="16" spans="1:28" ht="30" customHeight="1">
      <c r="A16" s="10" t="s">
        <v>65</v>
      </c>
      <c r="B16" s="3">
        <v>134469</v>
      </c>
      <c r="C16" s="3"/>
      <c r="D16" s="3"/>
      <c r="E16" s="3"/>
      <c r="F16" s="3"/>
      <c r="G16" s="3"/>
      <c r="H16" s="3"/>
      <c r="I16" s="3"/>
      <c r="J16" s="3">
        <f t="shared" si="1"/>
        <v>134469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>
        <f t="shared" si="3"/>
        <v>0</v>
      </c>
      <c r="AB16" s="4">
        <f t="shared" si="2"/>
        <v>134469</v>
      </c>
    </row>
    <row r="17" spans="1:28" ht="30" customHeight="1">
      <c r="A17" s="10" t="s">
        <v>66</v>
      </c>
      <c r="B17" s="3"/>
      <c r="C17" s="3"/>
      <c r="D17" s="3"/>
      <c r="E17" s="3"/>
      <c r="F17" s="3"/>
      <c r="G17" s="3"/>
      <c r="H17" s="3"/>
      <c r="I17" s="3"/>
      <c r="J17" s="3">
        <f t="shared" si="1"/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>
        <f t="shared" si="3"/>
        <v>0</v>
      </c>
      <c r="AB17" s="4">
        <f t="shared" si="2"/>
        <v>0</v>
      </c>
    </row>
    <row r="18" spans="1:28" ht="30" customHeight="1">
      <c r="A18" s="12" t="s">
        <v>67</v>
      </c>
      <c r="B18" s="3"/>
      <c r="C18" s="3"/>
      <c r="D18" s="3"/>
      <c r="E18" s="3"/>
      <c r="F18" s="3"/>
      <c r="G18" s="3"/>
      <c r="H18" s="3"/>
      <c r="I18" s="3"/>
      <c r="J18" s="3">
        <f t="shared" si="1"/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3"/>
        <v>0</v>
      </c>
      <c r="AB18" s="4">
        <f t="shared" si="2"/>
        <v>0</v>
      </c>
    </row>
    <row r="19" spans="1:28" ht="30" customHeight="1">
      <c r="A19" s="12" t="s">
        <v>68</v>
      </c>
      <c r="B19" s="3">
        <v>282180</v>
      </c>
      <c r="C19" s="3">
        <v>52884</v>
      </c>
      <c r="D19" s="3"/>
      <c r="E19" s="3"/>
      <c r="F19" s="3"/>
      <c r="G19" s="3">
        <v>360</v>
      </c>
      <c r="H19" s="3"/>
      <c r="I19" s="3">
        <v>589</v>
      </c>
      <c r="J19" s="3">
        <f t="shared" si="1"/>
        <v>336013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>
        <v>1279</v>
      </c>
      <c r="X19" s="3">
        <v>479</v>
      </c>
      <c r="Y19" s="3">
        <v>1882</v>
      </c>
      <c r="Z19" s="3"/>
      <c r="AA19" s="3">
        <f t="shared" si="3"/>
        <v>3640</v>
      </c>
      <c r="AB19" s="4">
        <f t="shared" si="2"/>
        <v>339653</v>
      </c>
    </row>
    <row r="20" spans="1:28" ht="30" customHeight="1">
      <c r="A20" s="10" t="s">
        <v>69</v>
      </c>
      <c r="B20" s="3"/>
      <c r="C20" s="3"/>
      <c r="D20" s="3"/>
      <c r="E20" s="3"/>
      <c r="F20" s="3"/>
      <c r="G20" s="3"/>
      <c r="H20" s="3"/>
      <c r="I20" s="3"/>
      <c r="J20" s="3">
        <f t="shared" si="1"/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3"/>
        <v>0</v>
      </c>
      <c r="AB20" s="4">
        <f t="shared" si="2"/>
        <v>0</v>
      </c>
    </row>
    <row r="21" spans="1:28" ht="30" customHeight="1">
      <c r="A21" s="12" t="s">
        <v>70</v>
      </c>
      <c r="B21" s="3"/>
      <c r="C21" s="3"/>
      <c r="D21" s="3"/>
      <c r="E21" s="3"/>
      <c r="F21" s="3"/>
      <c r="G21" s="3"/>
      <c r="H21" s="3"/>
      <c r="I21" s="3"/>
      <c r="J21" s="3">
        <f t="shared" si="1"/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3"/>
        <v>0</v>
      </c>
      <c r="AB21" s="4">
        <f t="shared" si="2"/>
        <v>0</v>
      </c>
    </row>
    <row r="22" spans="1:28" ht="30" customHeight="1">
      <c r="A22" s="10" t="s">
        <v>71</v>
      </c>
      <c r="B22" s="3"/>
      <c r="C22" s="3"/>
      <c r="D22" s="3"/>
      <c r="E22" s="3"/>
      <c r="F22" s="3"/>
      <c r="G22" s="3"/>
      <c r="H22" s="3"/>
      <c r="I22" s="3"/>
      <c r="J22" s="3">
        <f t="shared" si="1"/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>
        <f t="shared" si="3"/>
        <v>0</v>
      </c>
      <c r="AB22" s="4">
        <f t="shared" si="2"/>
        <v>0</v>
      </c>
    </row>
    <row r="23" spans="1:28" ht="30" customHeight="1">
      <c r="A23" s="10" t="s">
        <v>72</v>
      </c>
      <c r="B23" s="3"/>
      <c r="C23" s="3"/>
      <c r="D23" s="3"/>
      <c r="E23" s="3"/>
      <c r="F23" s="3"/>
      <c r="G23" s="3"/>
      <c r="H23" s="3"/>
      <c r="I23" s="3"/>
      <c r="J23" s="3">
        <f t="shared" si="1"/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>
        <f t="shared" si="3"/>
        <v>0</v>
      </c>
      <c r="AB23" s="4">
        <f t="shared" si="2"/>
        <v>0</v>
      </c>
    </row>
    <row r="24" spans="1:28" ht="30" customHeight="1">
      <c r="A24" s="66" t="s">
        <v>185</v>
      </c>
      <c r="B24" s="3">
        <v>101182</v>
      </c>
      <c r="C24" s="3">
        <v>16247</v>
      </c>
      <c r="D24" s="3"/>
      <c r="E24" s="3"/>
      <c r="F24" s="3"/>
      <c r="G24" s="3">
        <v>130</v>
      </c>
      <c r="H24" s="3"/>
      <c r="I24" s="3">
        <v>9</v>
      </c>
      <c r="J24" s="3">
        <f>SUM(B24:I24)</f>
        <v>117568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>
        <v>693</v>
      </c>
      <c r="Y24" s="3">
        <v>4167</v>
      </c>
      <c r="Z24" s="3"/>
      <c r="AA24" s="3">
        <f>SUM(K24:Z24)</f>
        <v>4860</v>
      </c>
      <c r="AB24" s="4">
        <f t="shared" si="2"/>
        <v>122428</v>
      </c>
    </row>
    <row r="25" spans="1:28" ht="30" customHeight="1">
      <c r="A25" s="12" t="s">
        <v>99</v>
      </c>
      <c r="B25" s="3">
        <v>6294</v>
      </c>
      <c r="C25" s="3"/>
      <c r="D25" s="3"/>
      <c r="E25" s="3"/>
      <c r="F25" s="3"/>
      <c r="G25" s="3"/>
      <c r="H25" s="3"/>
      <c r="I25" s="3"/>
      <c r="J25" s="3">
        <f t="shared" si="1"/>
        <v>6294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>
        <f t="shared" si="3"/>
        <v>0</v>
      </c>
      <c r="AB25" s="4">
        <f t="shared" si="2"/>
        <v>6294</v>
      </c>
    </row>
    <row r="26" spans="1:27" ht="48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8" ht="30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85"/>
    </row>
  </sheetData>
  <mergeCells count="1">
    <mergeCell ref="X6:X9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C27"/>
  <sheetViews>
    <sheetView zoomScale="75" zoomScaleNormal="75" workbookViewId="0" topLeftCell="A5">
      <pane xSplit="1" ySplit="6" topLeftCell="G12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ColWidth="9.00390625" defaultRowHeight="15.75"/>
  <cols>
    <col min="1" max="1" width="27.375" style="83" customWidth="1"/>
    <col min="2" max="2" width="10.125" style="83" customWidth="1"/>
    <col min="3" max="3" width="10.00390625" style="83" customWidth="1"/>
    <col min="4" max="4" width="8.75390625" style="83" customWidth="1"/>
    <col min="5" max="6" width="9.00390625" style="83" customWidth="1"/>
    <col min="7" max="7" width="11.00390625" style="83" customWidth="1"/>
    <col min="8" max="8" width="11.50390625" style="83" customWidth="1"/>
    <col min="9" max="9" width="9.00390625" style="83" customWidth="1"/>
    <col min="10" max="10" width="11.50390625" style="83" customWidth="1"/>
    <col min="11" max="12" width="9.875" style="83" customWidth="1"/>
    <col min="13" max="13" width="10.125" style="83" customWidth="1"/>
    <col min="14" max="14" width="11.00390625" style="83" customWidth="1"/>
    <col min="15" max="15" width="11.875" style="83" customWidth="1"/>
    <col min="16" max="16" width="10.625" style="83" customWidth="1"/>
    <col min="17" max="17" width="11.25390625" style="83" customWidth="1"/>
    <col min="18" max="18" width="11.50390625" style="83" customWidth="1"/>
    <col min="19" max="20" width="9.00390625" style="83" customWidth="1"/>
    <col min="21" max="22" width="9.75390625" style="83" bestFit="1" customWidth="1"/>
    <col min="23" max="23" width="9.00390625" style="83" customWidth="1"/>
    <col min="24" max="24" width="9.25390625" style="83" customWidth="1"/>
    <col min="25" max="26" width="9.75390625" style="83" bestFit="1" customWidth="1"/>
    <col min="27" max="27" width="10.375" style="83" customWidth="1"/>
    <col min="28" max="28" width="12.25390625" style="83" customWidth="1"/>
    <col min="29" max="16384" width="9.00390625" style="83" customWidth="1"/>
  </cols>
  <sheetData>
    <row r="1" spans="1:20" s="68" customFormat="1" ht="21">
      <c r="A1" s="67"/>
      <c r="B1" s="83"/>
      <c r="C1" s="83"/>
      <c r="D1" s="83"/>
      <c r="E1" s="2"/>
      <c r="F1" s="15" t="s">
        <v>95</v>
      </c>
      <c r="G1" s="16" t="s">
        <v>96</v>
      </c>
      <c r="S1" s="15" t="s">
        <v>95</v>
      </c>
      <c r="T1" s="16" t="s">
        <v>96</v>
      </c>
    </row>
    <row r="2" spans="4:20" s="68" customFormat="1" ht="27.75">
      <c r="D2" s="1"/>
      <c r="E2" s="1"/>
      <c r="F2" s="17" t="s">
        <v>97</v>
      </c>
      <c r="G2" s="18" t="s">
        <v>98</v>
      </c>
      <c r="S2" s="17" t="s">
        <v>97</v>
      </c>
      <c r="T2" s="18" t="s">
        <v>98</v>
      </c>
    </row>
    <row r="3" spans="6:28" s="68" customFormat="1" ht="16.5">
      <c r="F3" s="19" t="s">
        <v>126</v>
      </c>
      <c r="G3" s="35" t="s">
        <v>127</v>
      </c>
      <c r="M3" s="20" t="s">
        <v>0</v>
      </c>
      <c r="S3" s="19" t="s">
        <v>126</v>
      </c>
      <c r="T3" s="35" t="s">
        <v>127</v>
      </c>
      <c r="AB3" s="20" t="s">
        <v>0</v>
      </c>
    </row>
    <row r="4" spans="1:28" s="68" customFormat="1" ht="30" customHeight="1">
      <c r="A4" s="21" t="s">
        <v>128</v>
      </c>
      <c r="B4" s="22" t="s">
        <v>186</v>
      </c>
      <c r="C4" s="69"/>
      <c r="D4" s="69"/>
      <c r="E4" s="69"/>
      <c r="F4" s="69"/>
      <c r="G4" s="69"/>
      <c r="H4" s="69"/>
      <c r="I4" s="69"/>
      <c r="J4" s="70"/>
      <c r="K4" s="23" t="s">
        <v>187</v>
      </c>
      <c r="L4" s="71"/>
      <c r="M4" s="71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3"/>
      <c r="AB4" s="74"/>
    </row>
    <row r="5" spans="1:28" s="78" customFormat="1" ht="25.5" customHeight="1">
      <c r="A5" s="24" t="s">
        <v>129</v>
      </c>
      <c r="B5" s="25" t="s">
        <v>4</v>
      </c>
      <c r="C5" s="25" t="s">
        <v>5</v>
      </c>
      <c r="D5" s="25" t="s">
        <v>6</v>
      </c>
      <c r="E5" s="25" t="s">
        <v>7</v>
      </c>
      <c r="F5" s="26" t="s">
        <v>188</v>
      </c>
      <c r="G5" s="75"/>
      <c r="H5" s="75"/>
      <c r="I5" s="76"/>
      <c r="J5" s="44" t="s">
        <v>112</v>
      </c>
      <c r="K5" s="26" t="s">
        <v>189</v>
      </c>
      <c r="L5" s="75"/>
      <c r="M5" s="76"/>
      <c r="N5" s="26" t="s">
        <v>190</v>
      </c>
      <c r="O5" s="75"/>
      <c r="P5" s="75"/>
      <c r="Q5" s="76"/>
      <c r="R5" s="25" t="s">
        <v>11</v>
      </c>
      <c r="S5" s="25" t="s">
        <v>12</v>
      </c>
      <c r="T5" s="26" t="s">
        <v>191</v>
      </c>
      <c r="U5" s="75"/>
      <c r="V5" s="75"/>
      <c r="W5" s="75"/>
      <c r="X5" s="75"/>
      <c r="Y5" s="75"/>
      <c r="Z5" s="77"/>
      <c r="AA5" s="25" t="s">
        <v>13</v>
      </c>
      <c r="AB5" s="27" t="s">
        <v>14</v>
      </c>
    </row>
    <row r="6" spans="1:28" s="68" customFormat="1" ht="16.5">
      <c r="A6" s="79"/>
      <c r="B6" s="80"/>
      <c r="C6" s="28" t="s">
        <v>15</v>
      </c>
      <c r="D6" s="28" t="s">
        <v>16</v>
      </c>
      <c r="E6" s="28" t="s">
        <v>192</v>
      </c>
      <c r="F6" s="80"/>
      <c r="G6" s="80"/>
      <c r="H6" s="80"/>
      <c r="I6" s="80"/>
      <c r="J6" s="28" t="s">
        <v>193</v>
      </c>
      <c r="K6" s="80"/>
      <c r="L6" s="43" t="s">
        <v>194</v>
      </c>
      <c r="M6" s="43" t="s">
        <v>195</v>
      </c>
      <c r="N6" s="80" t="s">
        <v>17</v>
      </c>
      <c r="O6" s="80"/>
      <c r="P6" s="80"/>
      <c r="Q6" s="80"/>
      <c r="R6" s="28" t="s">
        <v>18</v>
      </c>
      <c r="S6" s="28" t="s">
        <v>196</v>
      </c>
      <c r="T6" s="80" t="s">
        <v>17</v>
      </c>
      <c r="U6" s="80" t="s">
        <v>17</v>
      </c>
      <c r="V6" s="80"/>
      <c r="W6" s="80"/>
      <c r="X6" s="107" t="s">
        <v>183</v>
      </c>
      <c r="Y6" s="80"/>
      <c r="Z6" s="80"/>
      <c r="AA6" s="28" t="s">
        <v>197</v>
      </c>
      <c r="AB6" s="81"/>
    </row>
    <row r="7" spans="1:28" s="68" customFormat="1" ht="16.5">
      <c r="A7" s="79"/>
      <c r="B7" s="28" t="s">
        <v>19</v>
      </c>
      <c r="C7" s="28" t="s">
        <v>198</v>
      </c>
      <c r="D7" s="80"/>
      <c r="E7" s="80" t="s">
        <v>17</v>
      </c>
      <c r="F7" s="28" t="s">
        <v>20</v>
      </c>
      <c r="G7" s="28" t="s">
        <v>21</v>
      </c>
      <c r="H7" s="28" t="s">
        <v>20</v>
      </c>
      <c r="I7" s="28" t="s">
        <v>20</v>
      </c>
      <c r="J7" s="80"/>
      <c r="K7" s="28" t="s">
        <v>22</v>
      </c>
      <c r="L7" s="28" t="s">
        <v>199</v>
      </c>
      <c r="M7" s="28" t="s">
        <v>23</v>
      </c>
      <c r="N7" s="28" t="s">
        <v>20</v>
      </c>
      <c r="O7" s="28" t="s">
        <v>21</v>
      </c>
      <c r="P7" s="28" t="s">
        <v>20</v>
      </c>
      <c r="Q7" s="28" t="s">
        <v>20</v>
      </c>
      <c r="R7" s="80"/>
      <c r="S7" s="80"/>
      <c r="T7" s="28" t="s">
        <v>24</v>
      </c>
      <c r="U7" s="28" t="s">
        <v>25</v>
      </c>
      <c r="V7" s="28" t="s">
        <v>26</v>
      </c>
      <c r="W7" s="28" t="s">
        <v>27</v>
      </c>
      <c r="X7" s="108"/>
      <c r="Y7" s="28" t="s">
        <v>28</v>
      </c>
      <c r="Z7" s="28" t="s">
        <v>29</v>
      </c>
      <c r="AA7" s="80"/>
      <c r="AB7" s="81"/>
    </row>
    <row r="8" spans="1:28" s="68" customFormat="1" ht="16.5">
      <c r="A8" s="29" t="s">
        <v>130</v>
      </c>
      <c r="B8" s="80"/>
      <c r="C8" s="28" t="s">
        <v>31</v>
      </c>
      <c r="D8" s="28" t="s">
        <v>32</v>
      </c>
      <c r="E8" s="28" t="s">
        <v>200</v>
      </c>
      <c r="F8" s="28" t="s">
        <v>33</v>
      </c>
      <c r="G8" s="28" t="s">
        <v>34</v>
      </c>
      <c r="H8" s="28" t="s">
        <v>35</v>
      </c>
      <c r="I8" s="28" t="s">
        <v>36</v>
      </c>
      <c r="J8" s="28" t="s">
        <v>201</v>
      </c>
      <c r="K8" s="80"/>
      <c r="L8" s="28" t="s">
        <v>202</v>
      </c>
      <c r="M8" s="80"/>
      <c r="N8" s="28" t="s">
        <v>33</v>
      </c>
      <c r="O8" s="28" t="s">
        <v>34</v>
      </c>
      <c r="P8" s="28" t="s">
        <v>35</v>
      </c>
      <c r="Q8" s="28" t="s">
        <v>36</v>
      </c>
      <c r="R8" s="28" t="s">
        <v>37</v>
      </c>
      <c r="S8" s="28" t="s">
        <v>203</v>
      </c>
      <c r="T8" s="80"/>
      <c r="U8" s="28" t="s">
        <v>24</v>
      </c>
      <c r="V8" s="80"/>
      <c r="W8" s="80"/>
      <c r="X8" s="108"/>
      <c r="Y8" s="28" t="s">
        <v>38</v>
      </c>
      <c r="Z8" s="80"/>
      <c r="AA8" s="28" t="s">
        <v>201</v>
      </c>
      <c r="AB8" s="30" t="s">
        <v>39</v>
      </c>
    </row>
    <row r="9" spans="1:28" s="68" customFormat="1" ht="16.5">
      <c r="A9" s="31" t="s">
        <v>129</v>
      </c>
      <c r="B9" s="32" t="s">
        <v>40</v>
      </c>
      <c r="C9" s="32" t="s">
        <v>41</v>
      </c>
      <c r="D9" s="32" t="s">
        <v>42</v>
      </c>
      <c r="E9" s="32" t="s">
        <v>43</v>
      </c>
      <c r="F9" s="32" t="s">
        <v>44</v>
      </c>
      <c r="G9" s="32" t="s">
        <v>45</v>
      </c>
      <c r="H9" s="32" t="s">
        <v>46</v>
      </c>
      <c r="I9" s="32" t="s">
        <v>47</v>
      </c>
      <c r="J9" s="32" t="s">
        <v>48</v>
      </c>
      <c r="K9" s="32" t="s">
        <v>49</v>
      </c>
      <c r="L9" s="32" t="s">
        <v>204</v>
      </c>
      <c r="M9" s="32" t="s">
        <v>51</v>
      </c>
      <c r="N9" s="32" t="s">
        <v>44</v>
      </c>
      <c r="O9" s="32" t="s">
        <v>205</v>
      </c>
      <c r="P9" s="32" t="s">
        <v>46</v>
      </c>
      <c r="Q9" s="32" t="s">
        <v>47</v>
      </c>
      <c r="R9" s="32" t="s">
        <v>52</v>
      </c>
      <c r="S9" s="32" t="s">
        <v>53</v>
      </c>
      <c r="T9" s="32" t="s">
        <v>54</v>
      </c>
      <c r="U9" s="32" t="s">
        <v>54</v>
      </c>
      <c r="V9" s="32" t="s">
        <v>55</v>
      </c>
      <c r="W9" s="32" t="s">
        <v>56</v>
      </c>
      <c r="X9" s="109"/>
      <c r="Y9" s="32" t="s">
        <v>57</v>
      </c>
      <c r="Z9" s="32" t="s">
        <v>58</v>
      </c>
      <c r="AA9" s="32" t="s">
        <v>48</v>
      </c>
      <c r="AB9" s="82"/>
    </row>
    <row r="10" spans="1:28" ht="30" customHeight="1">
      <c r="A10" s="79" t="s">
        <v>131</v>
      </c>
      <c r="B10" s="3">
        <f aca="true" t="shared" si="0" ref="B10:AB10">SUM(B11:B25)</f>
        <v>8807730</v>
      </c>
      <c r="C10" s="3">
        <f t="shared" si="0"/>
        <v>7828246</v>
      </c>
      <c r="D10" s="3">
        <f t="shared" si="0"/>
        <v>0</v>
      </c>
      <c r="E10" s="3">
        <f t="shared" si="0"/>
        <v>27230</v>
      </c>
      <c r="F10" s="3">
        <f t="shared" si="0"/>
        <v>317308</v>
      </c>
      <c r="G10" s="3">
        <f t="shared" si="0"/>
        <v>53695805</v>
      </c>
      <c r="H10" s="3">
        <f t="shared" si="0"/>
        <v>19259991</v>
      </c>
      <c r="I10" s="3">
        <f t="shared" si="0"/>
        <v>20475</v>
      </c>
      <c r="J10" s="3">
        <f t="shared" si="0"/>
        <v>89956785</v>
      </c>
      <c r="K10" s="3">
        <f t="shared" si="0"/>
        <v>0</v>
      </c>
      <c r="L10" s="3">
        <f t="shared" si="0"/>
        <v>18607</v>
      </c>
      <c r="M10" s="3">
        <f t="shared" si="0"/>
        <v>0</v>
      </c>
      <c r="N10" s="3">
        <f t="shared" si="0"/>
        <v>19426</v>
      </c>
      <c r="O10" s="3">
        <f t="shared" si="0"/>
        <v>3268064</v>
      </c>
      <c r="P10" s="3">
        <f t="shared" si="0"/>
        <v>4118137</v>
      </c>
      <c r="Q10" s="3">
        <f t="shared" si="0"/>
        <v>0</v>
      </c>
      <c r="R10" s="3">
        <f t="shared" si="0"/>
        <v>1802</v>
      </c>
      <c r="S10" s="3">
        <f t="shared" si="0"/>
        <v>178</v>
      </c>
      <c r="T10" s="3">
        <f t="shared" si="0"/>
        <v>0</v>
      </c>
      <c r="U10" s="3">
        <f t="shared" si="0"/>
        <v>2149381</v>
      </c>
      <c r="V10" s="3">
        <f t="shared" si="0"/>
        <v>1888983</v>
      </c>
      <c r="W10" s="3">
        <f t="shared" si="0"/>
        <v>48739</v>
      </c>
      <c r="X10" s="3">
        <f>SUM(X11:X25)</f>
        <v>143856</v>
      </c>
      <c r="Y10" s="3">
        <f t="shared" si="0"/>
        <v>1966923</v>
      </c>
      <c r="Z10" s="3">
        <f t="shared" si="0"/>
        <v>2743285</v>
      </c>
      <c r="AA10" s="3">
        <f t="shared" si="0"/>
        <v>16367381</v>
      </c>
      <c r="AB10" s="5">
        <f t="shared" si="0"/>
        <v>106324166</v>
      </c>
    </row>
    <row r="11" spans="1:28" ht="30" customHeight="1">
      <c r="A11" s="10" t="s">
        <v>60</v>
      </c>
      <c r="B11" s="3"/>
      <c r="C11" s="3"/>
      <c r="D11" s="3"/>
      <c r="E11" s="3"/>
      <c r="F11" s="3"/>
      <c r="G11" s="3"/>
      <c r="H11" s="3"/>
      <c r="I11" s="3"/>
      <c r="J11" s="3">
        <f aca="true" t="shared" si="1" ref="J11:J25">SUM(B11:I11)</f>
        <v>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>
        <f>SUM(K11:Z11)</f>
        <v>0</v>
      </c>
      <c r="AB11" s="4">
        <f aca="true" t="shared" si="2" ref="AB11:AB25">SUM(J11,AA11)</f>
        <v>0</v>
      </c>
    </row>
    <row r="12" spans="1:28" ht="30" customHeight="1">
      <c r="A12" s="12" t="s">
        <v>132</v>
      </c>
      <c r="B12" s="3"/>
      <c r="C12" s="3"/>
      <c r="D12" s="3"/>
      <c r="E12" s="3"/>
      <c r="F12" s="3"/>
      <c r="G12" s="3"/>
      <c r="H12" s="3"/>
      <c r="I12" s="3"/>
      <c r="J12" s="3">
        <f t="shared" si="1"/>
        <v>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aca="true" t="shared" si="3" ref="AA12:AA25">SUM(K12:Z12)</f>
        <v>0</v>
      </c>
      <c r="AB12" s="4">
        <f t="shared" si="2"/>
        <v>0</v>
      </c>
    </row>
    <row r="13" spans="1:28" ht="30" customHeight="1">
      <c r="A13" s="10" t="s">
        <v>62</v>
      </c>
      <c r="B13" s="3"/>
      <c r="C13" s="3"/>
      <c r="D13" s="3"/>
      <c r="E13" s="3"/>
      <c r="F13" s="3"/>
      <c r="G13" s="3"/>
      <c r="H13" s="3"/>
      <c r="I13" s="3"/>
      <c r="J13" s="3">
        <f t="shared" si="1"/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 t="shared" si="3"/>
        <v>0</v>
      </c>
      <c r="AB13" s="4">
        <f t="shared" si="2"/>
        <v>0</v>
      </c>
    </row>
    <row r="14" spans="1:28" ht="30" customHeight="1">
      <c r="A14" s="10" t="s">
        <v>63</v>
      </c>
      <c r="B14" s="3"/>
      <c r="C14" s="3"/>
      <c r="D14" s="3"/>
      <c r="E14" s="3"/>
      <c r="F14" s="3"/>
      <c r="G14" s="3"/>
      <c r="H14" s="3"/>
      <c r="I14" s="3"/>
      <c r="J14" s="3">
        <f t="shared" si="1"/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 t="shared" si="3"/>
        <v>0</v>
      </c>
      <c r="AB14" s="4">
        <f t="shared" si="2"/>
        <v>0</v>
      </c>
    </row>
    <row r="15" spans="1:28" ht="30" customHeight="1">
      <c r="A15" s="10" t="s">
        <v>64</v>
      </c>
      <c r="B15" s="3"/>
      <c r="C15" s="3"/>
      <c r="D15" s="3"/>
      <c r="E15" s="3"/>
      <c r="F15" s="3"/>
      <c r="G15" s="3"/>
      <c r="H15" s="3"/>
      <c r="I15" s="3"/>
      <c r="J15" s="3">
        <f t="shared" si="1"/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>
        <f t="shared" si="3"/>
        <v>0</v>
      </c>
      <c r="AB15" s="4">
        <f t="shared" si="2"/>
        <v>0</v>
      </c>
    </row>
    <row r="16" spans="1:28" ht="30" customHeight="1">
      <c r="A16" s="10" t="s">
        <v>65</v>
      </c>
      <c r="B16" s="3">
        <v>1186411</v>
      </c>
      <c r="C16" s="3">
        <v>29617</v>
      </c>
      <c r="D16" s="3"/>
      <c r="E16" s="3"/>
      <c r="F16" s="3"/>
      <c r="G16" s="3">
        <v>49878291</v>
      </c>
      <c r="H16" s="3"/>
      <c r="I16" s="3"/>
      <c r="J16" s="3">
        <f t="shared" si="1"/>
        <v>51094319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>
        <f t="shared" si="3"/>
        <v>0</v>
      </c>
      <c r="AB16" s="4">
        <f t="shared" si="2"/>
        <v>51094319</v>
      </c>
    </row>
    <row r="17" spans="1:28" ht="30" customHeight="1">
      <c r="A17" s="10" t="s">
        <v>66</v>
      </c>
      <c r="B17" s="3"/>
      <c r="C17" s="3"/>
      <c r="D17" s="3"/>
      <c r="E17" s="3"/>
      <c r="F17" s="3"/>
      <c r="G17" s="3"/>
      <c r="H17" s="3"/>
      <c r="I17" s="3"/>
      <c r="J17" s="3">
        <f t="shared" si="1"/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>
        <f t="shared" si="3"/>
        <v>0</v>
      </c>
      <c r="AB17" s="4">
        <f t="shared" si="2"/>
        <v>0</v>
      </c>
    </row>
    <row r="18" spans="1:28" ht="30" customHeight="1">
      <c r="A18" s="12" t="s">
        <v>67</v>
      </c>
      <c r="B18" s="3"/>
      <c r="C18" s="3"/>
      <c r="D18" s="3"/>
      <c r="E18" s="3"/>
      <c r="F18" s="3"/>
      <c r="G18" s="3"/>
      <c r="H18" s="3"/>
      <c r="I18" s="3"/>
      <c r="J18" s="3">
        <f t="shared" si="1"/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3"/>
        <v>0</v>
      </c>
      <c r="AB18" s="4">
        <f t="shared" si="2"/>
        <v>0</v>
      </c>
    </row>
    <row r="19" spans="1:28" ht="30" customHeight="1">
      <c r="A19" s="12" t="s">
        <v>68</v>
      </c>
      <c r="B19" s="3"/>
      <c r="C19" s="3"/>
      <c r="D19" s="3"/>
      <c r="E19" s="3"/>
      <c r="F19" s="3"/>
      <c r="G19" s="3"/>
      <c r="H19" s="3"/>
      <c r="I19" s="3"/>
      <c r="J19" s="3">
        <f t="shared" si="1"/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3"/>
        <v>0</v>
      </c>
      <c r="AB19" s="4">
        <f t="shared" si="2"/>
        <v>0</v>
      </c>
    </row>
    <row r="20" spans="1:29" ht="30" customHeight="1">
      <c r="A20" s="10" t="s">
        <v>69</v>
      </c>
      <c r="B20" s="93">
        <f>7490960-3-191-1308</f>
        <v>7489458</v>
      </c>
      <c r="C20" s="93">
        <f>7815702-5370-2087-9679-14-71+148</f>
        <v>7798629</v>
      </c>
      <c r="D20" s="3"/>
      <c r="E20" s="3">
        <v>27230</v>
      </c>
      <c r="F20" s="93">
        <f>317389-20-61</f>
        <v>317308</v>
      </c>
      <c r="G20" s="93">
        <f>3832273-1086-799-10621-583-1669-1</f>
        <v>3817514</v>
      </c>
      <c r="H20" s="93">
        <f>19297970-1531-2939-8656-14457-10396</f>
        <v>19259991</v>
      </c>
      <c r="I20" s="3">
        <v>20475</v>
      </c>
      <c r="J20" s="3">
        <f t="shared" si="1"/>
        <v>38730605</v>
      </c>
      <c r="K20" s="3"/>
      <c r="L20" s="3">
        <v>18607</v>
      </c>
      <c r="M20" s="3"/>
      <c r="N20" s="3">
        <v>19426</v>
      </c>
      <c r="O20" s="93">
        <f>3271466-3401-1</f>
        <v>3268064</v>
      </c>
      <c r="P20" s="93">
        <f>4240153-99508-1578-839-20091</f>
        <v>4118137</v>
      </c>
      <c r="Q20" s="3"/>
      <c r="R20" s="3">
        <v>1802</v>
      </c>
      <c r="S20" s="3">
        <v>178</v>
      </c>
      <c r="T20" s="3"/>
      <c r="U20" s="3">
        <v>2149381</v>
      </c>
      <c r="V20" s="93">
        <f>1939973-1010-1991-47989</f>
        <v>1888983</v>
      </c>
      <c r="W20" s="3">
        <v>48739</v>
      </c>
      <c r="X20" s="3">
        <v>143856</v>
      </c>
      <c r="Y20" s="93">
        <f>1974261-5323-2015</f>
        <v>1966923</v>
      </c>
      <c r="Z20" s="93">
        <f>2812477-4537-64655</f>
        <v>2743285</v>
      </c>
      <c r="AA20" s="3">
        <f t="shared" si="3"/>
        <v>16367381</v>
      </c>
      <c r="AB20" s="4">
        <f t="shared" si="2"/>
        <v>55097986</v>
      </c>
      <c r="AC20" s="46"/>
    </row>
    <row r="21" spans="1:28" ht="30" customHeight="1">
      <c r="A21" s="12" t="s">
        <v>70</v>
      </c>
      <c r="B21" s="3"/>
      <c r="C21" s="3"/>
      <c r="D21" s="3"/>
      <c r="E21" s="3"/>
      <c r="F21" s="3"/>
      <c r="G21" s="3"/>
      <c r="H21" s="3"/>
      <c r="I21" s="3"/>
      <c r="J21" s="3">
        <f t="shared" si="1"/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3"/>
        <v>0</v>
      </c>
      <c r="AB21" s="4">
        <f t="shared" si="2"/>
        <v>0</v>
      </c>
    </row>
    <row r="22" spans="1:28" ht="30" customHeight="1">
      <c r="A22" s="10" t="s">
        <v>71</v>
      </c>
      <c r="B22" s="3"/>
      <c r="C22" s="3"/>
      <c r="D22" s="3"/>
      <c r="E22" s="3"/>
      <c r="F22" s="3"/>
      <c r="G22" s="3"/>
      <c r="H22" s="3"/>
      <c r="I22" s="3"/>
      <c r="J22" s="3">
        <f t="shared" si="1"/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>
        <f t="shared" si="3"/>
        <v>0</v>
      </c>
      <c r="AB22" s="4">
        <f t="shared" si="2"/>
        <v>0</v>
      </c>
    </row>
    <row r="23" spans="1:28" ht="30" customHeight="1">
      <c r="A23" s="10" t="s">
        <v>72</v>
      </c>
      <c r="B23" s="3"/>
      <c r="C23" s="3"/>
      <c r="D23" s="3"/>
      <c r="E23" s="3"/>
      <c r="F23" s="3"/>
      <c r="G23" s="3"/>
      <c r="H23" s="3"/>
      <c r="I23" s="3"/>
      <c r="J23" s="3">
        <f t="shared" si="1"/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>
        <f t="shared" si="3"/>
        <v>0</v>
      </c>
      <c r="AB23" s="4">
        <f t="shared" si="2"/>
        <v>0</v>
      </c>
    </row>
    <row r="24" spans="1:28" ht="30" customHeight="1">
      <c r="A24" s="84" t="s">
        <v>185</v>
      </c>
      <c r="B24" s="3"/>
      <c r="C24" s="3"/>
      <c r="D24" s="3"/>
      <c r="E24" s="3"/>
      <c r="F24" s="3"/>
      <c r="G24" s="3"/>
      <c r="H24" s="3"/>
      <c r="I24" s="3"/>
      <c r="J24" s="3">
        <f>SUM(B24:I24)</f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>
        <f>SUM(K24:Z24)</f>
        <v>0</v>
      </c>
      <c r="AB24" s="4">
        <f t="shared" si="2"/>
        <v>0</v>
      </c>
    </row>
    <row r="25" spans="1:28" ht="30" customHeight="1">
      <c r="A25" s="12" t="s">
        <v>99</v>
      </c>
      <c r="B25" s="3">
        <v>131861</v>
      </c>
      <c r="C25" s="3"/>
      <c r="D25" s="3"/>
      <c r="E25" s="3"/>
      <c r="F25" s="3"/>
      <c r="G25" s="3"/>
      <c r="H25" s="3"/>
      <c r="I25" s="3"/>
      <c r="J25" s="3">
        <f t="shared" si="1"/>
        <v>131861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>
        <f t="shared" si="3"/>
        <v>0</v>
      </c>
      <c r="AB25" s="4">
        <f t="shared" si="2"/>
        <v>131861</v>
      </c>
    </row>
    <row r="26" spans="1:27" ht="48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8" ht="30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85"/>
    </row>
  </sheetData>
  <mergeCells count="1">
    <mergeCell ref="X6:X9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27"/>
  <sheetViews>
    <sheetView zoomScale="75" zoomScaleNormal="75" workbookViewId="0" topLeftCell="A1">
      <pane xSplit="1" ySplit="10" topLeftCell="B11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ColWidth="9.00390625" defaultRowHeight="15.75"/>
  <cols>
    <col min="1" max="1" width="27.375" style="83" customWidth="1"/>
    <col min="2" max="2" width="10.125" style="83" customWidth="1"/>
    <col min="3" max="3" width="10.00390625" style="83" customWidth="1"/>
    <col min="4" max="4" width="8.75390625" style="83" customWidth="1"/>
    <col min="5" max="6" width="9.00390625" style="83" customWidth="1"/>
    <col min="7" max="7" width="11.00390625" style="83" customWidth="1"/>
    <col min="8" max="8" width="11.50390625" style="83" customWidth="1"/>
    <col min="9" max="9" width="9.00390625" style="83" customWidth="1"/>
    <col min="10" max="10" width="11.50390625" style="83" customWidth="1"/>
    <col min="11" max="12" width="9.875" style="83" customWidth="1"/>
    <col min="13" max="13" width="10.125" style="83" customWidth="1"/>
    <col min="14" max="14" width="11.00390625" style="83" customWidth="1"/>
    <col min="15" max="15" width="11.875" style="83" customWidth="1"/>
    <col min="16" max="16" width="10.625" style="83" customWidth="1"/>
    <col min="17" max="17" width="11.25390625" style="83" customWidth="1"/>
    <col min="18" max="18" width="11.50390625" style="83" customWidth="1"/>
    <col min="19" max="26" width="9.00390625" style="83" customWidth="1"/>
    <col min="27" max="27" width="10.375" style="83" customWidth="1"/>
    <col min="28" max="28" width="12.25390625" style="83" customWidth="1"/>
    <col min="29" max="16384" width="9.00390625" style="83" customWidth="1"/>
  </cols>
  <sheetData>
    <row r="1" spans="1:20" s="68" customFormat="1" ht="21">
      <c r="A1" s="67"/>
      <c r="B1" s="83"/>
      <c r="C1" s="83"/>
      <c r="D1" s="83"/>
      <c r="E1" s="2"/>
      <c r="F1" s="15" t="s">
        <v>95</v>
      </c>
      <c r="G1" s="16" t="s">
        <v>96</v>
      </c>
      <c r="S1" s="15" t="s">
        <v>95</v>
      </c>
      <c r="T1" s="16" t="s">
        <v>96</v>
      </c>
    </row>
    <row r="2" spans="4:20" s="68" customFormat="1" ht="27.75">
      <c r="D2" s="1"/>
      <c r="E2" s="1"/>
      <c r="F2" s="17" t="s">
        <v>97</v>
      </c>
      <c r="G2" s="18" t="s">
        <v>98</v>
      </c>
      <c r="S2" s="17" t="s">
        <v>97</v>
      </c>
      <c r="T2" s="18" t="s">
        <v>98</v>
      </c>
    </row>
    <row r="3" spans="6:28" s="68" customFormat="1" ht="16.5">
      <c r="F3" s="19" t="s">
        <v>126</v>
      </c>
      <c r="G3" s="35" t="s">
        <v>127</v>
      </c>
      <c r="M3" s="20" t="s">
        <v>0</v>
      </c>
      <c r="S3" s="19" t="s">
        <v>126</v>
      </c>
      <c r="T3" s="35" t="s">
        <v>127</v>
      </c>
      <c r="AB3" s="20" t="s">
        <v>0</v>
      </c>
    </row>
    <row r="4" spans="1:28" s="68" customFormat="1" ht="30" customHeight="1">
      <c r="A4" s="21" t="s">
        <v>128</v>
      </c>
      <c r="B4" s="22" t="s">
        <v>186</v>
      </c>
      <c r="C4" s="69"/>
      <c r="D4" s="69"/>
      <c r="E4" s="69"/>
      <c r="F4" s="69"/>
      <c r="G4" s="69"/>
      <c r="H4" s="69"/>
      <c r="I4" s="69"/>
      <c r="J4" s="70"/>
      <c r="K4" s="23" t="s">
        <v>187</v>
      </c>
      <c r="L4" s="71"/>
      <c r="M4" s="71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3"/>
      <c r="AB4" s="74"/>
    </row>
    <row r="5" spans="1:28" s="78" customFormat="1" ht="25.5" customHeight="1">
      <c r="A5" s="24" t="s">
        <v>129</v>
      </c>
      <c r="B5" s="25" t="s">
        <v>4</v>
      </c>
      <c r="C5" s="25" t="s">
        <v>5</v>
      </c>
      <c r="D5" s="25" t="s">
        <v>6</v>
      </c>
      <c r="E5" s="25" t="s">
        <v>7</v>
      </c>
      <c r="F5" s="26" t="s">
        <v>188</v>
      </c>
      <c r="G5" s="75"/>
      <c r="H5" s="75"/>
      <c r="I5" s="76"/>
      <c r="J5" s="44" t="s">
        <v>112</v>
      </c>
      <c r="K5" s="26" t="s">
        <v>189</v>
      </c>
      <c r="L5" s="75"/>
      <c r="M5" s="76"/>
      <c r="N5" s="26" t="s">
        <v>190</v>
      </c>
      <c r="O5" s="75"/>
      <c r="P5" s="75"/>
      <c r="Q5" s="76"/>
      <c r="R5" s="25" t="s">
        <v>11</v>
      </c>
      <c r="S5" s="25" t="s">
        <v>12</v>
      </c>
      <c r="T5" s="26" t="s">
        <v>191</v>
      </c>
      <c r="U5" s="75"/>
      <c r="V5" s="75"/>
      <c r="W5" s="75"/>
      <c r="X5" s="75"/>
      <c r="Y5" s="75"/>
      <c r="Z5" s="77"/>
      <c r="AA5" s="25" t="s">
        <v>13</v>
      </c>
      <c r="AB5" s="27" t="s">
        <v>14</v>
      </c>
    </row>
    <row r="6" spans="1:28" s="68" customFormat="1" ht="16.5">
      <c r="A6" s="79"/>
      <c r="B6" s="80"/>
      <c r="C6" s="28" t="s">
        <v>15</v>
      </c>
      <c r="D6" s="28" t="s">
        <v>16</v>
      </c>
      <c r="E6" s="28" t="s">
        <v>192</v>
      </c>
      <c r="F6" s="80"/>
      <c r="G6" s="80"/>
      <c r="H6" s="80"/>
      <c r="I6" s="80"/>
      <c r="J6" s="28" t="s">
        <v>193</v>
      </c>
      <c r="K6" s="80"/>
      <c r="L6" s="43" t="s">
        <v>194</v>
      </c>
      <c r="M6" s="43" t="s">
        <v>195</v>
      </c>
      <c r="N6" s="80" t="s">
        <v>17</v>
      </c>
      <c r="O6" s="80"/>
      <c r="P6" s="80"/>
      <c r="Q6" s="80"/>
      <c r="R6" s="28" t="s">
        <v>18</v>
      </c>
      <c r="S6" s="28" t="s">
        <v>196</v>
      </c>
      <c r="T6" s="80" t="s">
        <v>17</v>
      </c>
      <c r="U6" s="80" t="s">
        <v>17</v>
      </c>
      <c r="V6" s="80"/>
      <c r="W6" s="80"/>
      <c r="X6" s="107" t="s">
        <v>183</v>
      </c>
      <c r="Y6" s="80"/>
      <c r="Z6" s="80"/>
      <c r="AA6" s="28" t="s">
        <v>197</v>
      </c>
      <c r="AB6" s="81"/>
    </row>
    <row r="7" spans="1:28" s="68" customFormat="1" ht="16.5">
      <c r="A7" s="79"/>
      <c r="B7" s="28" t="s">
        <v>19</v>
      </c>
      <c r="C7" s="28" t="s">
        <v>198</v>
      </c>
      <c r="D7" s="80"/>
      <c r="E7" s="80" t="s">
        <v>17</v>
      </c>
      <c r="F7" s="28" t="s">
        <v>20</v>
      </c>
      <c r="G7" s="28" t="s">
        <v>21</v>
      </c>
      <c r="H7" s="28" t="s">
        <v>20</v>
      </c>
      <c r="I7" s="28" t="s">
        <v>20</v>
      </c>
      <c r="J7" s="80"/>
      <c r="K7" s="28" t="s">
        <v>22</v>
      </c>
      <c r="L7" s="28" t="s">
        <v>199</v>
      </c>
      <c r="M7" s="28" t="s">
        <v>23</v>
      </c>
      <c r="N7" s="28" t="s">
        <v>20</v>
      </c>
      <c r="O7" s="28" t="s">
        <v>21</v>
      </c>
      <c r="P7" s="28" t="s">
        <v>20</v>
      </c>
      <c r="Q7" s="28" t="s">
        <v>20</v>
      </c>
      <c r="R7" s="80"/>
      <c r="S7" s="80"/>
      <c r="T7" s="28" t="s">
        <v>24</v>
      </c>
      <c r="U7" s="28" t="s">
        <v>25</v>
      </c>
      <c r="V7" s="28" t="s">
        <v>26</v>
      </c>
      <c r="W7" s="28" t="s">
        <v>27</v>
      </c>
      <c r="X7" s="108"/>
      <c r="Y7" s="28" t="s">
        <v>28</v>
      </c>
      <c r="Z7" s="28" t="s">
        <v>29</v>
      </c>
      <c r="AA7" s="80"/>
      <c r="AB7" s="81"/>
    </row>
    <row r="8" spans="1:28" s="68" customFormat="1" ht="16.5">
      <c r="A8" s="29" t="s">
        <v>130</v>
      </c>
      <c r="B8" s="80"/>
      <c r="C8" s="28" t="s">
        <v>31</v>
      </c>
      <c r="D8" s="28" t="s">
        <v>32</v>
      </c>
      <c r="E8" s="28" t="s">
        <v>200</v>
      </c>
      <c r="F8" s="28" t="s">
        <v>33</v>
      </c>
      <c r="G8" s="28" t="s">
        <v>34</v>
      </c>
      <c r="H8" s="28" t="s">
        <v>35</v>
      </c>
      <c r="I8" s="28" t="s">
        <v>36</v>
      </c>
      <c r="J8" s="28" t="s">
        <v>201</v>
      </c>
      <c r="K8" s="80"/>
      <c r="L8" s="28" t="s">
        <v>202</v>
      </c>
      <c r="M8" s="80"/>
      <c r="N8" s="28" t="s">
        <v>33</v>
      </c>
      <c r="O8" s="28" t="s">
        <v>34</v>
      </c>
      <c r="P8" s="28" t="s">
        <v>35</v>
      </c>
      <c r="Q8" s="28" t="s">
        <v>36</v>
      </c>
      <c r="R8" s="28" t="s">
        <v>37</v>
      </c>
      <c r="S8" s="28" t="s">
        <v>203</v>
      </c>
      <c r="T8" s="80"/>
      <c r="U8" s="28" t="s">
        <v>24</v>
      </c>
      <c r="V8" s="80"/>
      <c r="W8" s="80"/>
      <c r="X8" s="108"/>
      <c r="Y8" s="28" t="s">
        <v>38</v>
      </c>
      <c r="Z8" s="80"/>
      <c r="AA8" s="28" t="s">
        <v>201</v>
      </c>
      <c r="AB8" s="30" t="s">
        <v>39</v>
      </c>
    </row>
    <row r="9" spans="1:28" s="68" customFormat="1" ht="16.5">
      <c r="A9" s="31" t="s">
        <v>129</v>
      </c>
      <c r="B9" s="32" t="s">
        <v>40</v>
      </c>
      <c r="C9" s="32" t="s">
        <v>41</v>
      </c>
      <c r="D9" s="32" t="s">
        <v>42</v>
      </c>
      <c r="E9" s="32" t="s">
        <v>43</v>
      </c>
      <c r="F9" s="32" t="s">
        <v>44</v>
      </c>
      <c r="G9" s="32" t="s">
        <v>45</v>
      </c>
      <c r="H9" s="32" t="s">
        <v>46</v>
      </c>
      <c r="I9" s="32" t="s">
        <v>47</v>
      </c>
      <c r="J9" s="32" t="s">
        <v>48</v>
      </c>
      <c r="K9" s="32" t="s">
        <v>49</v>
      </c>
      <c r="L9" s="32" t="s">
        <v>204</v>
      </c>
      <c r="M9" s="32" t="s">
        <v>51</v>
      </c>
      <c r="N9" s="32" t="s">
        <v>44</v>
      </c>
      <c r="O9" s="32" t="s">
        <v>205</v>
      </c>
      <c r="P9" s="32" t="s">
        <v>46</v>
      </c>
      <c r="Q9" s="32" t="s">
        <v>47</v>
      </c>
      <c r="R9" s="32" t="s">
        <v>52</v>
      </c>
      <c r="S9" s="32" t="s">
        <v>53</v>
      </c>
      <c r="T9" s="32" t="s">
        <v>54</v>
      </c>
      <c r="U9" s="32" t="s">
        <v>54</v>
      </c>
      <c r="V9" s="32" t="s">
        <v>55</v>
      </c>
      <c r="W9" s="32" t="s">
        <v>56</v>
      </c>
      <c r="X9" s="109"/>
      <c r="Y9" s="32" t="s">
        <v>57</v>
      </c>
      <c r="Z9" s="32" t="s">
        <v>58</v>
      </c>
      <c r="AA9" s="32" t="s">
        <v>48</v>
      </c>
      <c r="AB9" s="82"/>
    </row>
    <row r="10" spans="1:28" ht="30" customHeight="1">
      <c r="A10" s="79" t="s">
        <v>131</v>
      </c>
      <c r="B10" s="3">
        <f aca="true" t="shared" si="0" ref="B10:AB10">SUM(B11:B25)</f>
        <v>2090604</v>
      </c>
      <c r="C10" s="3">
        <f t="shared" si="0"/>
        <v>949164</v>
      </c>
      <c r="D10" s="3">
        <f t="shared" si="0"/>
        <v>0</v>
      </c>
      <c r="E10" s="3">
        <f t="shared" si="0"/>
        <v>0</v>
      </c>
      <c r="F10" s="3">
        <f t="shared" si="0"/>
        <v>4164</v>
      </c>
      <c r="G10" s="3">
        <f t="shared" si="0"/>
        <v>53466046</v>
      </c>
      <c r="H10" s="3">
        <f t="shared" si="0"/>
        <v>3365228</v>
      </c>
      <c r="I10" s="3">
        <f t="shared" si="0"/>
        <v>156</v>
      </c>
      <c r="J10" s="3">
        <f t="shared" si="0"/>
        <v>59875362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4922</v>
      </c>
      <c r="O10" s="3">
        <f t="shared" si="0"/>
        <v>0</v>
      </c>
      <c r="P10" s="3">
        <f t="shared" si="0"/>
        <v>0</v>
      </c>
      <c r="Q10" s="3">
        <f t="shared" si="0"/>
        <v>0</v>
      </c>
      <c r="R10" s="3">
        <f t="shared" si="0"/>
        <v>0</v>
      </c>
      <c r="S10" s="3">
        <f t="shared" si="0"/>
        <v>0</v>
      </c>
      <c r="T10" s="3">
        <f t="shared" si="0"/>
        <v>0</v>
      </c>
      <c r="U10" s="3">
        <f t="shared" si="0"/>
        <v>0</v>
      </c>
      <c r="V10" s="3">
        <f t="shared" si="0"/>
        <v>0</v>
      </c>
      <c r="W10" s="3">
        <f t="shared" si="0"/>
        <v>420</v>
      </c>
      <c r="X10" s="3">
        <f>SUM(X11:X25)</f>
        <v>17045</v>
      </c>
      <c r="Y10" s="3">
        <f t="shared" si="0"/>
        <v>35916</v>
      </c>
      <c r="Z10" s="3">
        <f t="shared" si="0"/>
        <v>0</v>
      </c>
      <c r="AA10" s="3">
        <f t="shared" si="0"/>
        <v>58303</v>
      </c>
      <c r="AB10" s="5">
        <f t="shared" si="0"/>
        <v>59933665</v>
      </c>
    </row>
    <row r="11" spans="1:28" ht="30" customHeight="1">
      <c r="A11" s="10" t="s">
        <v>60</v>
      </c>
      <c r="B11" s="3"/>
      <c r="C11" s="3"/>
      <c r="D11" s="3"/>
      <c r="E11" s="3"/>
      <c r="F11" s="3"/>
      <c r="G11" s="3"/>
      <c r="H11" s="3"/>
      <c r="I11" s="3"/>
      <c r="J11" s="3">
        <f aca="true" t="shared" si="1" ref="J11:J25">SUM(B11:I11)</f>
        <v>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>
        <f>SUM(K11:Z11)</f>
        <v>0</v>
      </c>
      <c r="AB11" s="4">
        <f aca="true" t="shared" si="2" ref="AB11:AB25">SUM(J11,AA11)</f>
        <v>0</v>
      </c>
    </row>
    <row r="12" spans="1:28" ht="30" customHeight="1">
      <c r="A12" s="12" t="s">
        <v>132</v>
      </c>
      <c r="B12" s="3"/>
      <c r="C12" s="3"/>
      <c r="D12" s="3"/>
      <c r="E12" s="3"/>
      <c r="F12" s="3"/>
      <c r="G12" s="3"/>
      <c r="H12" s="3"/>
      <c r="I12" s="3"/>
      <c r="J12" s="3">
        <f t="shared" si="1"/>
        <v>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aca="true" t="shared" si="3" ref="AA12:AA25">SUM(K12:Z12)</f>
        <v>0</v>
      </c>
      <c r="AB12" s="4">
        <f t="shared" si="2"/>
        <v>0</v>
      </c>
    </row>
    <row r="13" spans="1:28" ht="30" customHeight="1">
      <c r="A13" s="10" t="s">
        <v>62</v>
      </c>
      <c r="B13" s="3"/>
      <c r="C13" s="3"/>
      <c r="D13" s="3"/>
      <c r="E13" s="3"/>
      <c r="F13" s="3"/>
      <c r="G13" s="3"/>
      <c r="H13" s="3"/>
      <c r="I13" s="3"/>
      <c r="J13" s="3">
        <f t="shared" si="1"/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 t="shared" si="3"/>
        <v>0</v>
      </c>
      <c r="AB13" s="4">
        <f t="shared" si="2"/>
        <v>0</v>
      </c>
    </row>
    <row r="14" spans="1:28" ht="30" customHeight="1">
      <c r="A14" s="10" t="s">
        <v>63</v>
      </c>
      <c r="B14" s="3">
        <v>958885</v>
      </c>
      <c r="C14" s="3">
        <v>225501</v>
      </c>
      <c r="D14" s="3"/>
      <c r="E14" s="3"/>
      <c r="F14" s="3">
        <v>785</v>
      </c>
      <c r="G14" s="3">
        <v>12116</v>
      </c>
      <c r="H14" s="3"/>
      <c r="I14" s="3">
        <v>4</v>
      </c>
      <c r="J14" s="3">
        <f t="shared" si="1"/>
        <v>1197291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>
        <v>420</v>
      </c>
      <c r="X14" s="3">
        <v>2447</v>
      </c>
      <c r="Y14" s="3">
        <v>3944</v>
      </c>
      <c r="Z14" s="3"/>
      <c r="AA14" s="3">
        <f t="shared" si="3"/>
        <v>6811</v>
      </c>
      <c r="AB14" s="4">
        <f t="shared" si="2"/>
        <v>1204102</v>
      </c>
    </row>
    <row r="15" spans="1:28" ht="30" customHeight="1">
      <c r="A15" s="10" t="s">
        <v>64</v>
      </c>
      <c r="B15" s="3"/>
      <c r="C15" s="3"/>
      <c r="D15" s="3"/>
      <c r="E15" s="3"/>
      <c r="F15" s="3"/>
      <c r="G15" s="3"/>
      <c r="H15" s="3"/>
      <c r="I15" s="3"/>
      <c r="J15" s="3">
        <f t="shared" si="1"/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>
        <f t="shared" si="3"/>
        <v>0</v>
      </c>
      <c r="AB15" s="4">
        <f t="shared" si="2"/>
        <v>0</v>
      </c>
    </row>
    <row r="16" spans="1:28" ht="30" customHeight="1">
      <c r="A16" s="10" t="s">
        <v>65</v>
      </c>
      <c r="B16" s="93">
        <f>318447-3</f>
        <v>318444</v>
      </c>
      <c r="C16" s="3">
        <v>69308</v>
      </c>
      <c r="D16" s="3"/>
      <c r="E16" s="3"/>
      <c r="F16" s="3">
        <v>3379</v>
      </c>
      <c r="G16" s="3">
        <v>53421128</v>
      </c>
      <c r="H16" s="93">
        <f>2655741-166</f>
        <v>2655575</v>
      </c>
      <c r="I16" s="3">
        <v>2</v>
      </c>
      <c r="J16" s="3">
        <f t="shared" si="1"/>
        <v>56467836</v>
      </c>
      <c r="K16" s="3"/>
      <c r="L16" s="3"/>
      <c r="M16" s="3"/>
      <c r="N16" s="3">
        <v>4922</v>
      </c>
      <c r="O16" s="3"/>
      <c r="P16" s="3"/>
      <c r="Q16" s="3"/>
      <c r="R16" s="3"/>
      <c r="S16" s="3"/>
      <c r="T16" s="3"/>
      <c r="U16" s="3"/>
      <c r="V16" s="3"/>
      <c r="W16" s="3"/>
      <c r="X16" s="3">
        <v>5988</v>
      </c>
      <c r="Y16" s="3">
        <v>819</v>
      </c>
      <c r="Z16" s="3"/>
      <c r="AA16" s="3">
        <f t="shared" si="3"/>
        <v>11729</v>
      </c>
      <c r="AB16" s="4">
        <f t="shared" si="2"/>
        <v>56479565</v>
      </c>
    </row>
    <row r="17" spans="1:28" ht="30" customHeight="1">
      <c r="A17" s="10" t="s">
        <v>66</v>
      </c>
      <c r="B17" s="3"/>
      <c r="C17" s="3"/>
      <c r="D17" s="3"/>
      <c r="E17" s="3"/>
      <c r="F17" s="3"/>
      <c r="G17" s="3"/>
      <c r="H17" s="3"/>
      <c r="I17" s="3"/>
      <c r="J17" s="3">
        <f t="shared" si="1"/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>
        <f t="shared" si="3"/>
        <v>0</v>
      </c>
      <c r="AB17" s="4">
        <f t="shared" si="2"/>
        <v>0</v>
      </c>
    </row>
    <row r="18" spans="1:28" ht="30" customHeight="1">
      <c r="A18" s="12" t="s">
        <v>67</v>
      </c>
      <c r="B18" s="3"/>
      <c r="C18" s="3"/>
      <c r="D18" s="3"/>
      <c r="E18" s="3"/>
      <c r="F18" s="3"/>
      <c r="G18" s="3"/>
      <c r="H18" s="3"/>
      <c r="I18" s="3"/>
      <c r="J18" s="3">
        <f t="shared" si="1"/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3"/>
        <v>0</v>
      </c>
      <c r="AB18" s="4">
        <f t="shared" si="2"/>
        <v>0</v>
      </c>
    </row>
    <row r="19" spans="1:28" ht="30" customHeight="1">
      <c r="A19" s="12" t="s">
        <v>68</v>
      </c>
      <c r="B19" s="3"/>
      <c r="C19" s="3"/>
      <c r="D19" s="3"/>
      <c r="E19" s="3"/>
      <c r="F19" s="3"/>
      <c r="G19" s="3"/>
      <c r="H19" s="3"/>
      <c r="I19" s="3"/>
      <c r="J19" s="3">
        <f t="shared" si="1"/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3"/>
        <v>0</v>
      </c>
      <c r="AB19" s="4">
        <f t="shared" si="2"/>
        <v>0</v>
      </c>
    </row>
    <row r="20" spans="1:28" ht="30" customHeight="1">
      <c r="A20" s="10" t="s">
        <v>69</v>
      </c>
      <c r="B20" s="3"/>
      <c r="C20" s="3"/>
      <c r="D20" s="3"/>
      <c r="E20" s="3"/>
      <c r="F20" s="3"/>
      <c r="G20" s="3"/>
      <c r="H20" s="3"/>
      <c r="I20" s="3"/>
      <c r="J20" s="3">
        <f t="shared" si="1"/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3"/>
        <v>0</v>
      </c>
      <c r="AB20" s="4">
        <f t="shared" si="2"/>
        <v>0</v>
      </c>
    </row>
    <row r="21" spans="1:28" ht="30" customHeight="1">
      <c r="A21" s="12" t="s">
        <v>70</v>
      </c>
      <c r="B21" s="3"/>
      <c r="C21" s="3"/>
      <c r="D21" s="3"/>
      <c r="E21" s="3"/>
      <c r="F21" s="3"/>
      <c r="G21" s="3"/>
      <c r="H21" s="3"/>
      <c r="I21" s="3"/>
      <c r="J21" s="3">
        <f t="shared" si="1"/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3"/>
        <v>0</v>
      </c>
      <c r="AB21" s="4">
        <f t="shared" si="2"/>
        <v>0</v>
      </c>
    </row>
    <row r="22" spans="1:28" ht="30" customHeight="1">
      <c r="A22" s="10" t="s">
        <v>71</v>
      </c>
      <c r="B22" s="3"/>
      <c r="C22" s="3"/>
      <c r="D22" s="3"/>
      <c r="E22" s="3"/>
      <c r="F22" s="3"/>
      <c r="G22" s="3"/>
      <c r="H22" s="3"/>
      <c r="I22" s="3"/>
      <c r="J22" s="3">
        <f t="shared" si="1"/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>
        <f t="shared" si="3"/>
        <v>0</v>
      </c>
      <c r="AB22" s="4">
        <f t="shared" si="2"/>
        <v>0</v>
      </c>
    </row>
    <row r="23" spans="1:28" ht="30" customHeight="1">
      <c r="A23" s="10" t="s">
        <v>72</v>
      </c>
      <c r="B23" s="3">
        <v>785078</v>
      </c>
      <c r="C23" s="3">
        <v>654355</v>
      </c>
      <c r="D23" s="3"/>
      <c r="E23" s="3"/>
      <c r="F23" s="3"/>
      <c r="G23" s="3">
        <v>32802</v>
      </c>
      <c r="H23" s="3">
        <v>709653</v>
      </c>
      <c r="I23" s="3">
        <v>150</v>
      </c>
      <c r="J23" s="3">
        <f t="shared" si="1"/>
        <v>2182038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>
        <v>8610</v>
      </c>
      <c r="Y23" s="3">
        <v>31153</v>
      </c>
      <c r="Z23" s="3"/>
      <c r="AA23" s="3">
        <f t="shared" si="3"/>
        <v>39763</v>
      </c>
      <c r="AB23" s="4">
        <f t="shared" si="2"/>
        <v>2221801</v>
      </c>
    </row>
    <row r="24" spans="1:28" ht="30" customHeight="1">
      <c r="A24" s="84" t="s">
        <v>185</v>
      </c>
      <c r="B24" s="3"/>
      <c r="C24" s="3"/>
      <c r="D24" s="3"/>
      <c r="E24" s="3"/>
      <c r="F24" s="3"/>
      <c r="G24" s="3"/>
      <c r="H24" s="3"/>
      <c r="I24" s="3"/>
      <c r="J24" s="3">
        <f>SUM(B24:I24)</f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>
        <f>SUM(K24:Z24)</f>
        <v>0</v>
      </c>
      <c r="AB24" s="4">
        <f t="shared" si="2"/>
        <v>0</v>
      </c>
    </row>
    <row r="25" spans="1:28" ht="30" customHeight="1">
      <c r="A25" s="12" t="s">
        <v>99</v>
      </c>
      <c r="B25" s="3">
        <v>28197</v>
      </c>
      <c r="C25" s="3"/>
      <c r="D25" s="3"/>
      <c r="E25" s="3"/>
      <c r="F25" s="3"/>
      <c r="G25" s="3"/>
      <c r="H25" s="3"/>
      <c r="I25" s="3"/>
      <c r="J25" s="3">
        <f t="shared" si="1"/>
        <v>28197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>
        <f t="shared" si="3"/>
        <v>0</v>
      </c>
      <c r="AB25" s="4">
        <f t="shared" si="2"/>
        <v>28197</v>
      </c>
    </row>
    <row r="26" spans="1:27" ht="48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8" ht="30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85"/>
    </row>
  </sheetData>
  <mergeCells count="1">
    <mergeCell ref="X6:X9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B27"/>
  <sheetViews>
    <sheetView zoomScale="75" zoomScaleNormal="75" workbookViewId="0" topLeftCell="A1">
      <pane xSplit="1" ySplit="10" topLeftCell="K11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ColWidth="9.00390625" defaultRowHeight="15.75"/>
  <cols>
    <col min="1" max="1" width="27.375" style="83" customWidth="1"/>
    <col min="2" max="2" width="10.125" style="83" customWidth="1"/>
    <col min="3" max="3" width="10.00390625" style="83" customWidth="1"/>
    <col min="4" max="4" width="8.75390625" style="83" customWidth="1"/>
    <col min="5" max="5" width="9.00390625" style="83" customWidth="1"/>
    <col min="6" max="6" width="9.375" style="83" bestFit="1" customWidth="1"/>
    <col min="7" max="7" width="11.00390625" style="83" customWidth="1"/>
    <col min="8" max="8" width="11.50390625" style="83" customWidth="1"/>
    <col min="9" max="9" width="9.00390625" style="83" customWidth="1"/>
    <col min="10" max="10" width="11.50390625" style="83" customWidth="1"/>
    <col min="11" max="12" width="9.875" style="83" customWidth="1"/>
    <col min="13" max="13" width="10.125" style="83" customWidth="1"/>
    <col min="14" max="14" width="11.00390625" style="83" customWidth="1"/>
    <col min="15" max="15" width="11.875" style="83" customWidth="1"/>
    <col min="16" max="16" width="10.625" style="83" customWidth="1"/>
    <col min="17" max="17" width="11.25390625" style="83" customWidth="1"/>
    <col min="18" max="18" width="11.50390625" style="83" customWidth="1"/>
    <col min="19" max="23" width="9.00390625" style="83" customWidth="1"/>
    <col min="24" max="24" width="9.25390625" style="83" customWidth="1"/>
    <col min="25" max="25" width="9.25390625" style="83" bestFit="1" customWidth="1"/>
    <col min="26" max="26" width="9.00390625" style="83" customWidth="1"/>
    <col min="27" max="27" width="10.375" style="83" customWidth="1"/>
    <col min="28" max="28" width="12.25390625" style="83" customWidth="1"/>
    <col min="29" max="16384" width="9.00390625" style="83" customWidth="1"/>
  </cols>
  <sheetData>
    <row r="1" spans="1:20" s="68" customFormat="1" ht="21">
      <c r="A1" s="67"/>
      <c r="B1" s="83"/>
      <c r="C1" s="83"/>
      <c r="D1" s="83"/>
      <c r="E1" s="2"/>
      <c r="F1" s="15" t="s">
        <v>95</v>
      </c>
      <c r="G1" s="16" t="s">
        <v>96</v>
      </c>
      <c r="S1" s="15" t="s">
        <v>95</v>
      </c>
      <c r="T1" s="16" t="s">
        <v>96</v>
      </c>
    </row>
    <row r="2" spans="4:20" s="68" customFormat="1" ht="27.75">
      <c r="D2" s="1"/>
      <c r="E2" s="1"/>
      <c r="F2" s="17" t="s">
        <v>97</v>
      </c>
      <c r="G2" s="18" t="s">
        <v>98</v>
      </c>
      <c r="S2" s="17" t="s">
        <v>97</v>
      </c>
      <c r="T2" s="18" t="s">
        <v>98</v>
      </c>
    </row>
    <row r="3" spans="6:28" s="68" customFormat="1" ht="16.5">
      <c r="F3" s="19" t="s">
        <v>126</v>
      </c>
      <c r="G3" s="35" t="s">
        <v>127</v>
      </c>
      <c r="M3" s="20" t="s">
        <v>0</v>
      </c>
      <c r="S3" s="19" t="s">
        <v>126</v>
      </c>
      <c r="T3" s="35" t="s">
        <v>127</v>
      </c>
      <c r="AB3" s="20" t="s">
        <v>0</v>
      </c>
    </row>
    <row r="4" spans="1:28" s="68" customFormat="1" ht="30" customHeight="1">
      <c r="A4" s="21" t="s">
        <v>128</v>
      </c>
      <c r="B4" s="22" t="s">
        <v>186</v>
      </c>
      <c r="C4" s="69"/>
      <c r="D4" s="69"/>
      <c r="E4" s="69"/>
      <c r="F4" s="69"/>
      <c r="G4" s="69"/>
      <c r="H4" s="69"/>
      <c r="I4" s="69"/>
      <c r="J4" s="70"/>
      <c r="K4" s="23" t="s">
        <v>187</v>
      </c>
      <c r="L4" s="71"/>
      <c r="M4" s="71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3"/>
      <c r="AB4" s="74"/>
    </row>
    <row r="5" spans="1:28" s="78" customFormat="1" ht="25.5" customHeight="1">
      <c r="A5" s="24" t="s">
        <v>129</v>
      </c>
      <c r="B5" s="25" t="s">
        <v>4</v>
      </c>
      <c r="C5" s="25" t="s">
        <v>5</v>
      </c>
      <c r="D5" s="25" t="s">
        <v>6</v>
      </c>
      <c r="E5" s="25" t="s">
        <v>7</v>
      </c>
      <c r="F5" s="26" t="s">
        <v>188</v>
      </c>
      <c r="G5" s="75"/>
      <c r="H5" s="75"/>
      <c r="I5" s="76"/>
      <c r="J5" s="44" t="s">
        <v>112</v>
      </c>
      <c r="K5" s="26" t="s">
        <v>189</v>
      </c>
      <c r="L5" s="75"/>
      <c r="M5" s="76"/>
      <c r="N5" s="26" t="s">
        <v>190</v>
      </c>
      <c r="O5" s="75"/>
      <c r="P5" s="75"/>
      <c r="Q5" s="76"/>
      <c r="R5" s="25" t="s">
        <v>11</v>
      </c>
      <c r="S5" s="25" t="s">
        <v>12</v>
      </c>
      <c r="T5" s="26" t="s">
        <v>191</v>
      </c>
      <c r="U5" s="75"/>
      <c r="V5" s="75"/>
      <c r="W5" s="75"/>
      <c r="X5" s="75"/>
      <c r="Y5" s="75"/>
      <c r="Z5" s="77"/>
      <c r="AA5" s="25" t="s">
        <v>13</v>
      </c>
      <c r="AB5" s="27" t="s">
        <v>14</v>
      </c>
    </row>
    <row r="6" spans="1:28" s="68" customFormat="1" ht="16.5">
      <c r="A6" s="79"/>
      <c r="B6" s="80"/>
      <c r="C6" s="28" t="s">
        <v>15</v>
      </c>
      <c r="D6" s="28" t="s">
        <v>16</v>
      </c>
      <c r="E6" s="28" t="s">
        <v>192</v>
      </c>
      <c r="F6" s="80"/>
      <c r="G6" s="80"/>
      <c r="H6" s="80"/>
      <c r="I6" s="80"/>
      <c r="J6" s="28" t="s">
        <v>193</v>
      </c>
      <c r="K6" s="80"/>
      <c r="L6" s="43" t="s">
        <v>194</v>
      </c>
      <c r="M6" s="43" t="s">
        <v>195</v>
      </c>
      <c r="N6" s="80" t="s">
        <v>17</v>
      </c>
      <c r="O6" s="80"/>
      <c r="P6" s="80"/>
      <c r="Q6" s="80"/>
      <c r="R6" s="28" t="s">
        <v>18</v>
      </c>
      <c r="S6" s="28" t="s">
        <v>196</v>
      </c>
      <c r="T6" s="80" t="s">
        <v>17</v>
      </c>
      <c r="U6" s="80" t="s">
        <v>17</v>
      </c>
      <c r="V6" s="80"/>
      <c r="W6" s="80"/>
      <c r="X6" s="107" t="s">
        <v>183</v>
      </c>
      <c r="Y6" s="80"/>
      <c r="Z6" s="80"/>
      <c r="AA6" s="28" t="s">
        <v>197</v>
      </c>
      <c r="AB6" s="81"/>
    </row>
    <row r="7" spans="1:28" s="68" customFormat="1" ht="16.5">
      <c r="A7" s="79"/>
      <c r="B7" s="28" t="s">
        <v>19</v>
      </c>
      <c r="C7" s="28" t="s">
        <v>198</v>
      </c>
      <c r="D7" s="80"/>
      <c r="E7" s="80" t="s">
        <v>17</v>
      </c>
      <c r="F7" s="28" t="s">
        <v>20</v>
      </c>
      <c r="G7" s="28" t="s">
        <v>21</v>
      </c>
      <c r="H7" s="28" t="s">
        <v>20</v>
      </c>
      <c r="I7" s="28" t="s">
        <v>20</v>
      </c>
      <c r="J7" s="80"/>
      <c r="K7" s="28" t="s">
        <v>22</v>
      </c>
      <c r="L7" s="28" t="s">
        <v>199</v>
      </c>
      <c r="M7" s="28" t="s">
        <v>23</v>
      </c>
      <c r="N7" s="28" t="s">
        <v>20</v>
      </c>
      <c r="O7" s="28" t="s">
        <v>21</v>
      </c>
      <c r="P7" s="28" t="s">
        <v>20</v>
      </c>
      <c r="Q7" s="28" t="s">
        <v>20</v>
      </c>
      <c r="R7" s="80"/>
      <c r="S7" s="80"/>
      <c r="T7" s="28" t="s">
        <v>24</v>
      </c>
      <c r="U7" s="28" t="s">
        <v>25</v>
      </c>
      <c r="V7" s="28" t="s">
        <v>26</v>
      </c>
      <c r="W7" s="28" t="s">
        <v>27</v>
      </c>
      <c r="X7" s="108"/>
      <c r="Y7" s="28" t="s">
        <v>28</v>
      </c>
      <c r="Z7" s="28" t="s">
        <v>29</v>
      </c>
      <c r="AA7" s="80"/>
      <c r="AB7" s="81"/>
    </row>
    <row r="8" spans="1:28" s="68" customFormat="1" ht="16.5">
      <c r="A8" s="29" t="s">
        <v>130</v>
      </c>
      <c r="B8" s="80"/>
      <c r="C8" s="28" t="s">
        <v>31</v>
      </c>
      <c r="D8" s="28" t="s">
        <v>32</v>
      </c>
      <c r="E8" s="28" t="s">
        <v>200</v>
      </c>
      <c r="F8" s="28" t="s">
        <v>33</v>
      </c>
      <c r="G8" s="28" t="s">
        <v>34</v>
      </c>
      <c r="H8" s="28" t="s">
        <v>35</v>
      </c>
      <c r="I8" s="28" t="s">
        <v>36</v>
      </c>
      <c r="J8" s="28" t="s">
        <v>201</v>
      </c>
      <c r="K8" s="80"/>
      <c r="L8" s="28" t="s">
        <v>202</v>
      </c>
      <c r="M8" s="80"/>
      <c r="N8" s="28" t="s">
        <v>33</v>
      </c>
      <c r="O8" s="28" t="s">
        <v>34</v>
      </c>
      <c r="P8" s="28" t="s">
        <v>35</v>
      </c>
      <c r="Q8" s="28" t="s">
        <v>36</v>
      </c>
      <c r="R8" s="28" t="s">
        <v>37</v>
      </c>
      <c r="S8" s="28" t="s">
        <v>203</v>
      </c>
      <c r="T8" s="80"/>
      <c r="U8" s="28" t="s">
        <v>24</v>
      </c>
      <c r="V8" s="80"/>
      <c r="W8" s="80"/>
      <c r="X8" s="108"/>
      <c r="Y8" s="28" t="s">
        <v>38</v>
      </c>
      <c r="Z8" s="80"/>
      <c r="AA8" s="28" t="s">
        <v>201</v>
      </c>
      <c r="AB8" s="30" t="s">
        <v>39</v>
      </c>
    </row>
    <row r="9" spans="1:28" s="68" customFormat="1" ht="16.5">
      <c r="A9" s="31" t="s">
        <v>129</v>
      </c>
      <c r="B9" s="32" t="s">
        <v>40</v>
      </c>
      <c r="C9" s="32" t="s">
        <v>41</v>
      </c>
      <c r="D9" s="32" t="s">
        <v>42</v>
      </c>
      <c r="E9" s="32" t="s">
        <v>43</v>
      </c>
      <c r="F9" s="32" t="s">
        <v>44</v>
      </c>
      <c r="G9" s="32" t="s">
        <v>45</v>
      </c>
      <c r="H9" s="32" t="s">
        <v>46</v>
      </c>
      <c r="I9" s="32" t="s">
        <v>47</v>
      </c>
      <c r="J9" s="32" t="s">
        <v>48</v>
      </c>
      <c r="K9" s="32" t="s">
        <v>49</v>
      </c>
      <c r="L9" s="32" t="s">
        <v>204</v>
      </c>
      <c r="M9" s="32" t="s">
        <v>51</v>
      </c>
      <c r="N9" s="32" t="s">
        <v>44</v>
      </c>
      <c r="O9" s="32" t="s">
        <v>205</v>
      </c>
      <c r="P9" s="32" t="s">
        <v>46</v>
      </c>
      <c r="Q9" s="32" t="s">
        <v>47</v>
      </c>
      <c r="R9" s="32" t="s">
        <v>52</v>
      </c>
      <c r="S9" s="32" t="s">
        <v>53</v>
      </c>
      <c r="T9" s="32" t="s">
        <v>54</v>
      </c>
      <c r="U9" s="32" t="s">
        <v>54</v>
      </c>
      <c r="V9" s="32" t="s">
        <v>55</v>
      </c>
      <c r="W9" s="32" t="s">
        <v>56</v>
      </c>
      <c r="X9" s="109"/>
      <c r="Y9" s="32" t="s">
        <v>57</v>
      </c>
      <c r="Z9" s="32" t="s">
        <v>58</v>
      </c>
      <c r="AA9" s="32" t="s">
        <v>48</v>
      </c>
      <c r="AB9" s="82"/>
    </row>
    <row r="10" spans="1:28" ht="30" customHeight="1">
      <c r="A10" s="79" t="s">
        <v>131</v>
      </c>
      <c r="B10" s="3">
        <f aca="true" t="shared" si="0" ref="B10:AB10">SUM(B11:B25)</f>
        <v>3045215</v>
      </c>
      <c r="C10" s="3">
        <f t="shared" si="0"/>
        <v>6142272</v>
      </c>
      <c r="D10" s="3">
        <f t="shared" si="0"/>
        <v>0</v>
      </c>
      <c r="E10" s="3">
        <f t="shared" si="0"/>
        <v>9544</v>
      </c>
      <c r="F10" s="3">
        <f t="shared" si="0"/>
        <v>43136</v>
      </c>
      <c r="G10" s="3">
        <f t="shared" si="0"/>
        <v>32456999</v>
      </c>
      <c r="H10" s="3">
        <f t="shared" si="0"/>
        <v>11176852</v>
      </c>
      <c r="I10" s="3">
        <f t="shared" si="0"/>
        <v>2702</v>
      </c>
      <c r="J10" s="3">
        <f t="shared" si="0"/>
        <v>52876720</v>
      </c>
      <c r="K10" s="3">
        <f t="shared" si="0"/>
        <v>0</v>
      </c>
      <c r="L10" s="3">
        <f t="shared" si="0"/>
        <v>510000</v>
      </c>
      <c r="M10" s="3">
        <f t="shared" si="0"/>
        <v>0</v>
      </c>
      <c r="N10" s="3">
        <f t="shared" si="0"/>
        <v>8799</v>
      </c>
      <c r="O10" s="3">
        <f t="shared" si="0"/>
        <v>340537</v>
      </c>
      <c r="P10" s="3">
        <f t="shared" si="0"/>
        <v>274953</v>
      </c>
      <c r="Q10" s="3">
        <f t="shared" si="0"/>
        <v>3131</v>
      </c>
      <c r="R10" s="3">
        <f t="shared" si="0"/>
        <v>0</v>
      </c>
      <c r="S10" s="3">
        <f t="shared" si="0"/>
        <v>0</v>
      </c>
      <c r="T10" s="3">
        <f t="shared" si="0"/>
        <v>0</v>
      </c>
      <c r="U10" s="3">
        <f t="shared" si="0"/>
        <v>185559</v>
      </c>
      <c r="V10" s="3">
        <f t="shared" si="0"/>
        <v>0</v>
      </c>
      <c r="W10" s="3">
        <f t="shared" si="0"/>
        <v>1115</v>
      </c>
      <c r="X10" s="3">
        <f>SUM(X11:X25)</f>
        <v>187442</v>
      </c>
      <c r="Y10" s="3">
        <f t="shared" si="0"/>
        <v>440770</v>
      </c>
      <c r="Z10" s="3">
        <f t="shared" si="0"/>
        <v>0</v>
      </c>
      <c r="AA10" s="3">
        <f t="shared" si="0"/>
        <v>1952306</v>
      </c>
      <c r="AB10" s="5">
        <f t="shared" si="0"/>
        <v>54829026</v>
      </c>
    </row>
    <row r="11" spans="1:28" ht="30" customHeight="1">
      <c r="A11" s="10" t="s">
        <v>60</v>
      </c>
      <c r="B11" s="3">
        <v>2135</v>
      </c>
      <c r="C11" s="3">
        <v>111926</v>
      </c>
      <c r="D11" s="3"/>
      <c r="E11" s="3"/>
      <c r="F11" s="3"/>
      <c r="G11" s="3"/>
      <c r="H11" s="3"/>
      <c r="I11" s="3"/>
      <c r="J11" s="3">
        <f aca="true" t="shared" si="1" ref="J11:J25">SUM(B11:I11)</f>
        <v>114061</v>
      </c>
      <c r="K11" s="3"/>
      <c r="L11" s="3">
        <v>510000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93">
        <f>94940-5700</f>
        <v>89240</v>
      </c>
      <c r="Y11" s="3">
        <v>38090</v>
      </c>
      <c r="Z11" s="3"/>
      <c r="AA11" s="3">
        <f>SUM(K11:Z11)</f>
        <v>637330</v>
      </c>
      <c r="AB11" s="4">
        <f aca="true" t="shared" si="2" ref="AB11:AB25">SUM(J11,AA11)</f>
        <v>751391</v>
      </c>
    </row>
    <row r="12" spans="1:28" ht="30" customHeight="1">
      <c r="A12" s="12" t="s">
        <v>132</v>
      </c>
      <c r="B12" s="3"/>
      <c r="C12" s="3"/>
      <c r="D12" s="3"/>
      <c r="E12" s="3"/>
      <c r="F12" s="3"/>
      <c r="G12" s="3"/>
      <c r="H12" s="3"/>
      <c r="I12" s="3"/>
      <c r="J12" s="3">
        <f t="shared" si="1"/>
        <v>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aca="true" t="shared" si="3" ref="AA12:AA25">SUM(K12:Z12)</f>
        <v>0</v>
      </c>
      <c r="AB12" s="4">
        <f t="shared" si="2"/>
        <v>0</v>
      </c>
    </row>
    <row r="13" spans="1:28" ht="30" customHeight="1">
      <c r="A13" s="10" t="s">
        <v>62</v>
      </c>
      <c r="B13" s="3"/>
      <c r="C13" s="3"/>
      <c r="D13" s="3"/>
      <c r="E13" s="3"/>
      <c r="F13" s="3"/>
      <c r="G13" s="3"/>
      <c r="H13" s="3"/>
      <c r="I13" s="3"/>
      <c r="J13" s="3">
        <f t="shared" si="1"/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 t="shared" si="3"/>
        <v>0</v>
      </c>
      <c r="AB13" s="4">
        <f t="shared" si="2"/>
        <v>0</v>
      </c>
    </row>
    <row r="14" spans="1:28" ht="30" customHeight="1">
      <c r="A14" s="10" t="s">
        <v>63</v>
      </c>
      <c r="B14" s="3"/>
      <c r="C14" s="3">
        <v>900</v>
      </c>
      <c r="D14" s="3"/>
      <c r="E14" s="3"/>
      <c r="F14" s="3"/>
      <c r="G14" s="3">
        <v>106600</v>
      </c>
      <c r="H14" s="3"/>
      <c r="I14" s="3"/>
      <c r="J14" s="3">
        <f t="shared" si="1"/>
        <v>107500</v>
      </c>
      <c r="K14" s="3"/>
      <c r="L14" s="3"/>
      <c r="M14" s="3"/>
      <c r="N14" s="3">
        <v>7112</v>
      </c>
      <c r="O14" s="3"/>
      <c r="P14" s="3">
        <v>5120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 t="shared" si="3"/>
        <v>12232</v>
      </c>
      <c r="AB14" s="4">
        <f t="shared" si="2"/>
        <v>119732</v>
      </c>
    </row>
    <row r="15" spans="1:28" ht="30" customHeight="1">
      <c r="A15" s="10" t="s">
        <v>64</v>
      </c>
      <c r="B15" s="93">
        <f>2536823-14-1</f>
        <v>2536808</v>
      </c>
      <c r="C15" s="93">
        <f>6025846-8172-4064-9192</f>
        <v>6004418</v>
      </c>
      <c r="D15" s="3"/>
      <c r="E15" s="3">
        <v>9544</v>
      </c>
      <c r="F15" s="93">
        <f>43186-50</f>
        <v>43136</v>
      </c>
      <c r="G15" s="93">
        <f>10693637-63-1907</f>
        <v>10691667</v>
      </c>
      <c r="H15" s="93">
        <f>5410567-1897</f>
        <v>5408670</v>
      </c>
      <c r="I15" s="3">
        <v>2702</v>
      </c>
      <c r="J15" s="3">
        <f t="shared" si="1"/>
        <v>24696945</v>
      </c>
      <c r="K15" s="3"/>
      <c r="L15" s="3"/>
      <c r="M15" s="3"/>
      <c r="N15" s="3">
        <v>1687</v>
      </c>
      <c r="O15" s="3">
        <v>340537</v>
      </c>
      <c r="P15" s="3">
        <v>269833</v>
      </c>
      <c r="Q15" s="3">
        <v>3131</v>
      </c>
      <c r="R15" s="3"/>
      <c r="S15" s="3"/>
      <c r="T15" s="3"/>
      <c r="U15" s="93">
        <f>187771-1888-323-1</f>
        <v>185559</v>
      </c>
      <c r="V15" s="3"/>
      <c r="W15" s="3">
        <v>1115</v>
      </c>
      <c r="X15" s="3">
        <v>96430</v>
      </c>
      <c r="Y15" s="93">
        <f>400913-1</f>
        <v>400912</v>
      </c>
      <c r="Z15" s="3"/>
      <c r="AA15" s="3">
        <f t="shared" si="3"/>
        <v>1299204</v>
      </c>
      <c r="AB15" s="4">
        <f t="shared" si="2"/>
        <v>25996149</v>
      </c>
    </row>
    <row r="16" spans="1:28" ht="30" customHeight="1">
      <c r="A16" s="10" t="s">
        <v>65</v>
      </c>
      <c r="B16" s="3">
        <v>375305</v>
      </c>
      <c r="C16" s="3">
        <v>25028</v>
      </c>
      <c r="D16" s="3"/>
      <c r="E16" s="3"/>
      <c r="F16" s="3"/>
      <c r="G16" s="3">
        <v>21658732</v>
      </c>
      <c r="H16" s="93">
        <f>5835320-67138</f>
        <v>5768182</v>
      </c>
      <c r="I16" s="3"/>
      <c r="J16" s="3">
        <f t="shared" si="1"/>
        <v>27827247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>
        <v>1772</v>
      </c>
      <c r="Y16" s="3">
        <v>1768</v>
      </c>
      <c r="Z16" s="3"/>
      <c r="AA16" s="3">
        <f t="shared" si="3"/>
        <v>3540</v>
      </c>
      <c r="AB16" s="4">
        <f t="shared" si="2"/>
        <v>27830787</v>
      </c>
    </row>
    <row r="17" spans="1:28" ht="30" customHeight="1">
      <c r="A17" s="10" t="s">
        <v>66</v>
      </c>
      <c r="B17" s="3"/>
      <c r="C17" s="3"/>
      <c r="D17" s="3"/>
      <c r="E17" s="3"/>
      <c r="F17" s="3"/>
      <c r="G17" s="3"/>
      <c r="H17" s="3"/>
      <c r="I17" s="3"/>
      <c r="J17" s="3">
        <f t="shared" si="1"/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>
        <f t="shared" si="3"/>
        <v>0</v>
      </c>
      <c r="AB17" s="4">
        <f t="shared" si="2"/>
        <v>0</v>
      </c>
    </row>
    <row r="18" spans="1:28" ht="30" customHeight="1">
      <c r="A18" s="12" t="s">
        <v>67</v>
      </c>
      <c r="B18" s="3"/>
      <c r="C18" s="3"/>
      <c r="D18" s="3"/>
      <c r="E18" s="3"/>
      <c r="F18" s="3"/>
      <c r="G18" s="3"/>
      <c r="H18" s="3"/>
      <c r="I18" s="3"/>
      <c r="J18" s="3">
        <f t="shared" si="1"/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3"/>
        <v>0</v>
      </c>
      <c r="AB18" s="4">
        <f t="shared" si="2"/>
        <v>0</v>
      </c>
    </row>
    <row r="19" spans="1:28" ht="30" customHeight="1">
      <c r="A19" s="12" t="s">
        <v>68</v>
      </c>
      <c r="B19" s="3"/>
      <c r="C19" s="3"/>
      <c r="D19" s="3"/>
      <c r="E19" s="3"/>
      <c r="F19" s="3"/>
      <c r="G19" s="3"/>
      <c r="H19" s="3"/>
      <c r="I19" s="3"/>
      <c r="J19" s="3">
        <f t="shared" si="1"/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3"/>
        <v>0</v>
      </c>
      <c r="AB19" s="4">
        <f t="shared" si="2"/>
        <v>0</v>
      </c>
    </row>
    <row r="20" spans="1:28" ht="30" customHeight="1">
      <c r="A20" s="10" t="s">
        <v>69</v>
      </c>
      <c r="B20" s="3"/>
      <c r="C20" s="3"/>
      <c r="D20" s="3"/>
      <c r="E20" s="3"/>
      <c r="F20" s="3"/>
      <c r="G20" s="3"/>
      <c r="H20" s="3"/>
      <c r="I20" s="3"/>
      <c r="J20" s="3">
        <f t="shared" si="1"/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3"/>
        <v>0</v>
      </c>
      <c r="AB20" s="4">
        <f t="shared" si="2"/>
        <v>0</v>
      </c>
    </row>
    <row r="21" spans="1:28" ht="30" customHeight="1">
      <c r="A21" s="12" t="s">
        <v>70</v>
      </c>
      <c r="B21" s="3"/>
      <c r="C21" s="3"/>
      <c r="D21" s="3"/>
      <c r="E21" s="3"/>
      <c r="F21" s="3"/>
      <c r="G21" s="3"/>
      <c r="H21" s="3"/>
      <c r="I21" s="3"/>
      <c r="J21" s="3">
        <f t="shared" si="1"/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3"/>
        <v>0</v>
      </c>
      <c r="AB21" s="4">
        <f t="shared" si="2"/>
        <v>0</v>
      </c>
    </row>
    <row r="22" spans="1:28" ht="30" customHeight="1">
      <c r="A22" s="10" t="s">
        <v>71</v>
      </c>
      <c r="B22" s="3"/>
      <c r="C22" s="3"/>
      <c r="D22" s="3"/>
      <c r="E22" s="3"/>
      <c r="F22" s="3"/>
      <c r="G22" s="3"/>
      <c r="H22" s="3"/>
      <c r="I22" s="3"/>
      <c r="J22" s="3">
        <f t="shared" si="1"/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>
        <f t="shared" si="3"/>
        <v>0</v>
      </c>
      <c r="AB22" s="4">
        <f t="shared" si="2"/>
        <v>0</v>
      </c>
    </row>
    <row r="23" spans="1:28" ht="30" customHeight="1">
      <c r="A23" s="10" t="s">
        <v>72</v>
      </c>
      <c r="B23" s="3"/>
      <c r="C23" s="3"/>
      <c r="D23" s="3"/>
      <c r="E23" s="3"/>
      <c r="F23" s="3"/>
      <c r="G23" s="3"/>
      <c r="H23" s="3"/>
      <c r="I23" s="3"/>
      <c r="J23" s="3">
        <f t="shared" si="1"/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>
        <f t="shared" si="3"/>
        <v>0</v>
      </c>
      <c r="AB23" s="4">
        <f t="shared" si="2"/>
        <v>0</v>
      </c>
    </row>
    <row r="24" spans="1:28" ht="30" customHeight="1">
      <c r="A24" s="84" t="s">
        <v>185</v>
      </c>
      <c r="B24" s="3"/>
      <c r="C24" s="3"/>
      <c r="D24" s="3"/>
      <c r="E24" s="3"/>
      <c r="F24" s="3"/>
      <c r="G24" s="3"/>
      <c r="H24" s="3"/>
      <c r="I24" s="3"/>
      <c r="J24" s="3">
        <f>SUM(B24:I24)</f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>
        <f>SUM(K24:Z24)</f>
        <v>0</v>
      </c>
      <c r="AB24" s="4">
        <f t="shared" si="2"/>
        <v>0</v>
      </c>
    </row>
    <row r="25" spans="1:28" ht="30" customHeight="1">
      <c r="A25" s="12" t="s">
        <v>99</v>
      </c>
      <c r="B25" s="3">
        <v>130967</v>
      </c>
      <c r="C25" s="3"/>
      <c r="D25" s="3"/>
      <c r="E25" s="3"/>
      <c r="F25" s="3"/>
      <c r="G25" s="3"/>
      <c r="H25" s="3"/>
      <c r="I25" s="3"/>
      <c r="J25" s="3">
        <f t="shared" si="1"/>
        <v>130967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>
        <f t="shared" si="3"/>
        <v>0</v>
      </c>
      <c r="AB25" s="4">
        <f t="shared" si="2"/>
        <v>130967</v>
      </c>
    </row>
    <row r="26" spans="1:27" ht="48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8" ht="30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85"/>
    </row>
  </sheetData>
  <mergeCells count="1">
    <mergeCell ref="X6:X9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B27"/>
  <sheetViews>
    <sheetView zoomScale="75" zoomScaleNormal="75" workbookViewId="0" topLeftCell="A1">
      <pane xSplit="1" ySplit="10" topLeftCell="B23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ColWidth="9.00390625" defaultRowHeight="15.75"/>
  <cols>
    <col min="1" max="1" width="27.375" style="0" customWidth="1"/>
    <col min="2" max="2" width="10.125" style="83" customWidth="1"/>
    <col min="3" max="3" width="10.00390625" style="83" customWidth="1"/>
    <col min="4" max="4" width="8.75390625" style="83" customWidth="1"/>
    <col min="5" max="6" width="9.00390625" style="83" customWidth="1"/>
    <col min="7" max="7" width="11.00390625" style="83" customWidth="1"/>
    <col min="8" max="8" width="11.50390625" style="83" customWidth="1"/>
    <col min="9" max="9" width="9.00390625" style="83" customWidth="1"/>
    <col min="10" max="10" width="11.50390625" style="83" customWidth="1"/>
    <col min="11" max="12" width="9.875" style="83" customWidth="1"/>
    <col min="13" max="13" width="10.125" style="83" customWidth="1"/>
    <col min="14" max="14" width="11.00390625" style="83" customWidth="1"/>
    <col min="15" max="15" width="11.875" style="83" customWidth="1"/>
    <col min="16" max="16" width="10.625" style="83" customWidth="1"/>
    <col min="17" max="17" width="11.25390625" style="83" customWidth="1"/>
    <col min="18" max="18" width="11.50390625" style="83" customWidth="1"/>
    <col min="19" max="26" width="9.00390625" style="83" customWidth="1"/>
    <col min="27" max="27" width="10.375" style="83" customWidth="1"/>
    <col min="28" max="28" width="12.25390625" style="83" customWidth="1"/>
  </cols>
  <sheetData>
    <row r="1" spans="5:28" ht="21">
      <c r="E1" s="2"/>
      <c r="F1" s="15" t="s">
        <v>95</v>
      </c>
      <c r="G1" s="16" t="s">
        <v>96</v>
      </c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15" t="s">
        <v>95</v>
      </c>
      <c r="T1" s="16" t="s">
        <v>96</v>
      </c>
      <c r="U1" s="68"/>
      <c r="V1" s="68"/>
      <c r="W1" s="68"/>
      <c r="X1" s="68"/>
      <c r="Y1" s="68"/>
      <c r="Z1" s="68"/>
      <c r="AA1" s="68"/>
      <c r="AB1" s="68"/>
    </row>
    <row r="2" spans="2:28" ht="27.75">
      <c r="B2" s="68"/>
      <c r="C2" s="68"/>
      <c r="D2" s="1"/>
      <c r="E2" s="1"/>
      <c r="F2" s="17" t="s">
        <v>97</v>
      </c>
      <c r="G2" s="18" t="s">
        <v>98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17" t="s">
        <v>97</v>
      </c>
      <c r="T2" s="18" t="s">
        <v>98</v>
      </c>
      <c r="U2" s="68"/>
      <c r="V2" s="68"/>
      <c r="W2" s="68"/>
      <c r="X2" s="68"/>
      <c r="Y2" s="68"/>
      <c r="Z2" s="68"/>
      <c r="AA2" s="68"/>
      <c r="AB2" s="68"/>
    </row>
    <row r="3" spans="2:28" ht="16.5">
      <c r="B3" s="68"/>
      <c r="C3" s="68"/>
      <c r="D3" s="68"/>
      <c r="E3" s="68"/>
      <c r="F3" s="19" t="s">
        <v>126</v>
      </c>
      <c r="G3" s="35" t="s">
        <v>127</v>
      </c>
      <c r="H3" s="68"/>
      <c r="I3" s="68"/>
      <c r="J3" s="68"/>
      <c r="K3" s="68"/>
      <c r="L3" s="68"/>
      <c r="M3" s="20" t="s">
        <v>0</v>
      </c>
      <c r="N3" s="68"/>
      <c r="O3" s="68"/>
      <c r="P3" s="68"/>
      <c r="Q3" s="68"/>
      <c r="R3" s="68"/>
      <c r="S3" s="19" t="s">
        <v>126</v>
      </c>
      <c r="T3" s="35" t="s">
        <v>127</v>
      </c>
      <c r="U3" s="68"/>
      <c r="V3" s="68"/>
      <c r="W3" s="68"/>
      <c r="X3" s="68"/>
      <c r="Y3" s="68"/>
      <c r="Z3" s="68"/>
      <c r="AA3" s="68"/>
      <c r="AB3" s="20" t="s">
        <v>0</v>
      </c>
    </row>
    <row r="4" spans="1:28" ht="30" customHeight="1">
      <c r="A4" s="21" t="s">
        <v>210</v>
      </c>
      <c r="B4" s="22" t="s">
        <v>186</v>
      </c>
      <c r="C4" s="69"/>
      <c r="D4" s="69"/>
      <c r="E4" s="69"/>
      <c r="F4" s="69"/>
      <c r="G4" s="69"/>
      <c r="H4" s="69"/>
      <c r="I4" s="69"/>
      <c r="J4" s="70"/>
      <c r="K4" s="23" t="s">
        <v>187</v>
      </c>
      <c r="L4" s="71"/>
      <c r="M4" s="71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3"/>
      <c r="AB4" s="74"/>
    </row>
    <row r="5" spans="1:28" s="9" customFormat="1" ht="25.5" customHeight="1">
      <c r="A5" s="24" t="s">
        <v>3</v>
      </c>
      <c r="B5" s="25" t="s">
        <v>4</v>
      </c>
      <c r="C5" s="25" t="s">
        <v>5</v>
      </c>
      <c r="D5" s="25" t="s">
        <v>6</v>
      </c>
      <c r="E5" s="25" t="s">
        <v>7</v>
      </c>
      <c r="F5" s="26" t="s">
        <v>188</v>
      </c>
      <c r="G5" s="75"/>
      <c r="H5" s="75"/>
      <c r="I5" s="76"/>
      <c r="J5" s="44" t="s">
        <v>112</v>
      </c>
      <c r="K5" s="26" t="s">
        <v>189</v>
      </c>
      <c r="L5" s="75"/>
      <c r="M5" s="76"/>
      <c r="N5" s="26" t="s">
        <v>190</v>
      </c>
      <c r="O5" s="75"/>
      <c r="P5" s="75"/>
      <c r="Q5" s="76"/>
      <c r="R5" s="25" t="s">
        <v>11</v>
      </c>
      <c r="S5" s="25" t="s">
        <v>12</v>
      </c>
      <c r="T5" s="26" t="s">
        <v>191</v>
      </c>
      <c r="U5" s="75"/>
      <c r="V5" s="75"/>
      <c r="W5" s="75"/>
      <c r="X5" s="75"/>
      <c r="Y5" s="75"/>
      <c r="Z5" s="77"/>
      <c r="AA5" s="25" t="s">
        <v>13</v>
      </c>
      <c r="AB5" s="27" t="s">
        <v>14</v>
      </c>
    </row>
    <row r="6" spans="1:28" ht="16.5">
      <c r="A6" s="10"/>
      <c r="B6" s="80"/>
      <c r="C6" s="28" t="s">
        <v>15</v>
      </c>
      <c r="D6" s="28" t="s">
        <v>16</v>
      </c>
      <c r="E6" s="28" t="s">
        <v>192</v>
      </c>
      <c r="F6" s="80"/>
      <c r="G6" s="80"/>
      <c r="H6" s="80"/>
      <c r="I6" s="80"/>
      <c r="J6" s="28" t="s">
        <v>193</v>
      </c>
      <c r="K6" s="80"/>
      <c r="L6" s="43" t="s">
        <v>194</v>
      </c>
      <c r="M6" s="43" t="s">
        <v>195</v>
      </c>
      <c r="N6" s="80" t="s">
        <v>17</v>
      </c>
      <c r="O6" s="80"/>
      <c r="P6" s="80"/>
      <c r="Q6" s="80"/>
      <c r="R6" s="28" t="s">
        <v>18</v>
      </c>
      <c r="S6" s="28" t="s">
        <v>196</v>
      </c>
      <c r="T6" s="80" t="s">
        <v>17</v>
      </c>
      <c r="U6" s="80" t="s">
        <v>17</v>
      </c>
      <c r="V6" s="80"/>
      <c r="W6" s="80"/>
      <c r="X6" s="107" t="s">
        <v>183</v>
      </c>
      <c r="Y6" s="80"/>
      <c r="Z6" s="80"/>
      <c r="AA6" s="28" t="s">
        <v>197</v>
      </c>
      <c r="AB6" s="81"/>
    </row>
    <row r="7" spans="1:28" ht="16.5">
      <c r="A7" s="10"/>
      <c r="B7" s="28" t="s">
        <v>19</v>
      </c>
      <c r="C7" s="28" t="s">
        <v>198</v>
      </c>
      <c r="D7" s="80"/>
      <c r="E7" s="80" t="s">
        <v>17</v>
      </c>
      <c r="F7" s="28" t="s">
        <v>20</v>
      </c>
      <c r="G7" s="28" t="s">
        <v>21</v>
      </c>
      <c r="H7" s="28" t="s">
        <v>20</v>
      </c>
      <c r="I7" s="28" t="s">
        <v>20</v>
      </c>
      <c r="J7" s="80"/>
      <c r="K7" s="28" t="s">
        <v>22</v>
      </c>
      <c r="L7" s="28" t="s">
        <v>199</v>
      </c>
      <c r="M7" s="28" t="s">
        <v>23</v>
      </c>
      <c r="N7" s="28" t="s">
        <v>20</v>
      </c>
      <c r="O7" s="28" t="s">
        <v>21</v>
      </c>
      <c r="P7" s="28" t="s">
        <v>20</v>
      </c>
      <c r="Q7" s="28" t="s">
        <v>20</v>
      </c>
      <c r="R7" s="80"/>
      <c r="S7" s="80"/>
      <c r="T7" s="28" t="s">
        <v>24</v>
      </c>
      <c r="U7" s="28" t="s">
        <v>25</v>
      </c>
      <c r="V7" s="28" t="s">
        <v>26</v>
      </c>
      <c r="W7" s="28" t="s">
        <v>27</v>
      </c>
      <c r="X7" s="108"/>
      <c r="Y7" s="28" t="s">
        <v>28</v>
      </c>
      <c r="Z7" s="28" t="s">
        <v>29</v>
      </c>
      <c r="AA7" s="80"/>
      <c r="AB7" s="81"/>
    </row>
    <row r="8" spans="1:28" ht="16.5">
      <c r="A8" s="29" t="s">
        <v>30</v>
      </c>
      <c r="B8" s="80"/>
      <c r="C8" s="28" t="s">
        <v>31</v>
      </c>
      <c r="D8" s="28" t="s">
        <v>32</v>
      </c>
      <c r="E8" s="28" t="s">
        <v>200</v>
      </c>
      <c r="F8" s="28" t="s">
        <v>33</v>
      </c>
      <c r="G8" s="28" t="s">
        <v>34</v>
      </c>
      <c r="H8" s="28" t="s">
        <v>35</v>
      </c>
      <c r="I8" s="28" t="s">
        <v>36</v>
      </c>
      <c r="J8" s="28" t="s">
        <v>201</v>
      </c>
      <c r="K8" s="80"/>
      <c r="L8" s="28" t="s">
        <v>202</v>
      </c>
      <c r="M8" s="80"/>
      <c r="N8" s="28" t="s">
        <v>33</v>
      </c>
      <c r="O8" s="28" t="s">
        <v>34</v>
      </c>
      <c r="P8" s="28" t="s">
        <v>35</v>
      </c>
      <c r="Q8" s="28" t="s">
        <v>36</v>
      </c>
      <c r="R8" s="28" t="s">
        <v>37</v>
      </c>
      <c r="S8" s="28" t="s">
        <v>203</v>
      </c>
      <c r="T8" s="80"/>
      <c r="U8" s="28" t="s">
        <v>24</v>
      </c>
      <c r="V8" s="80"/>
      <c r="W8" s="80"/>
      <c r="X8" s="108"/>
      <c r="Y8" s="28" t="s">
        <v>38</v>
      </c>
      <c r="Z8" s="80"/>
      <c r="AA8" s="28" t="s">
        <v>201</v>
      </c>
      <c r="AB8" s="30" t="s">
        <v>39</v>
      </c>
    </row>
    <row r="9" spans="1:28" ht="16.5">
      <c r="A9" s="31" t="s">
        <v>3</v>
      </c>
      <c r="B9" s="32" t="s">
        <v>40</v>
      </c>
      <c r="C9" s="32" t="s">
        <v>41</v>
      </c>
      <c r="D9" s="32" t="s">
        <v>42</v>
      </c>
      <c r="E9" s="32" t="s">
        <v>43</v>
      </c>
      <c r="F9" s="32" t="s">
        <v>44</v>
      </c>
      <c r="G9" s="32" t="s">
        <v>45</v>
      </c>
      <c r="H9" s="32" t="s">
        <v>46</v>
      </c>
      <c r="I9" s="32" t="s">
        <v>47</v>
      </c>
      <c r="J9" s="32" t="s">
        <v>48</v>
      </c>
      <c r="K9" s="32" t="s">
        <v>49</v>
      </c>
      <c r="L9" s="32" t="s">
        <v>204</v>
      </c>
      <c r="M9" s="32" t="s">
        <v>51</v>
      </c>
      <c r="N9" s="32" t="s">
        <v>44</v>
      </c>
      <c r="O9" s="32" t="s">
        <v>205</v>
      </c>
      <c r="P9" s="32" t="s">
        <v>46</v>
      </c>
      <c r="Q9" s="32" t="s">
        <v>47</v>
      </c>
      <c r="R9" s="32" t="s">
        <v>52</v>
      </c>
      <c r="S9" s="32" t="s">
        <v>53</v>
      </c>
      <c r="T9" s="32" t="s">
        <v>54</v>
      </c>
      <c r="U9" s="32" t="s">
        <v>54</v>
      </c>
      <c r="V9" s="32" t="s">
        <v>55</v>
      </c>
      <c r="W9" s="32" t="s">
        <v>56</v>
      </c>
      <c r="X9" s="109"/>
      <c r="Y9" s="32" t="s">
        <v>57</v>
      </c>
      <c r="Z9" s="32" t="s">
        <v>58</v>
      </c>
      <c r="AA9" s="32" t="s">
        <v>48</v>
      </c>
      <c r="AB9" s="82"/>
    </row>
    <row r="10" spans="1:28" ht="30" customHeight="1">
      <c r="A10" s="10" t="s">
        <v>59</v>
      </c>
      <c r="B10" s="3">
        <f aca="true" t="shared" si="0" ref="B10:AB10">SUM(B11:B25)</f>
        <v>1084125</v>
      </c>
      <c r="C10" s="3">
        <f t="shared" si="0"/>
        <v>1297826</v>
      </c>
      <c r="D10" s="3">
        <f t="shared" si="0"/>
        <v>0</v>
      </c>
      <c r="E10" s="3">
        <f t="shared" si="0"/>
        <v>19</v>
      </c>
      <c r="F10" s="3">
        <f t="shared" si="0"/>
        <v>3384</v>
      </c>
      <c r="G10" s="3">
        <f t="shared" si="0"/>
        <v>22300</v>
      </c>
      <c r="H10" s="3">
        <f t="shared" si="0"/>
        <v>1719081</v>
      </c>
      <c r="I10" s="3">
        <f t="shared" si="0"/>
        <v>245</v>
      </c>
      <c r="J10" s="3">
        <f t="shared" si="0"/>
        <v>4126980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3">
        <f t="shared" si="0"/>
        <v>3279037</v>
      </c>
      <c r="Q10" s="3">
        <f t="shared" si="0"/>
        <v>0</v>
      </c>
      <c r="R10" s="3">
        <f t="shared" si="0"/>
        <v>0</v>
      </c>
      <c r="S10" s="3">
        <f t="shared" si="0"/>
        <v>0</v>
      </c>
      <c r="T10" s="3">
        <f t="shared" si="0"/>
        <v>0</v>
      </c>
      <c r="U10" s="3">
        <f t="shared" si="0"/>
        <v>11637</v>
      </c>
      <c r="V10" s="3">
        <f t="shared" si="0"/>
        <v>0</v>
      </c>
      <c r="W10" s="3">
        <f t="shared" si="0"/>
        <v>61178</v>
      </c>
      <c r="X10" s="3">
        <f>SUM(X11:X25)</f>
        <v>50649</v>
      </c>
      <c r="Y10" s="3">
        <f t="shared" si="0"/>
        <v>216977</v>
      </c>
      <c r="Z10" s="3">
        <f t="shared" si="0"/>
        <v>0</v>
      </c>
      <c r="AA10" s="3">
        <f t="shared" si="0"/>
        <v>3619478</v>
      </c>
      <c r="AB10" s="5">
        <f t="shared" si="0"/>
        <v>7746458</v>
      </c>
    </row>
    <row r="11" spans="1:28" ht="30" customHeight="1">
      <c r="A11" s="10" t="s">
        <v>60</v>
      </c>
      <c r="B11" s="3"/>
      <c r="C11" s="3"/>
      <c r="D11" s="3"/>
      <c r="E11" s="3"/>
      <c r="F11" s="3"/>
      <c r="G11" s="3"/>
      <c r="H11" s="3"/>
      <c r="I11" s="3"/>
      <c r="J11" s="3">
        <f aca="true" t="shared" si="1" ref="J11:J25">SUM(B11:I11)</f>
        <v>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>
        <f>SUM(K11:Z11)</f>
        <v>0</v>
      </c>
      <c r="AB11" s="4">
        <f aca="true" t="shared" si="2" ref="AB11:AB25">SUM(J11,AA11)</f>
        <v>0</v>
      </c>
    </row>
    <row r="12" spans="1:28" ht="30" customHeight="1">
      <c r="A12" s="12" t="s">
        <v>61</v>
      </c>
      <c r="B12" s="3"/>
      <c r="C12" s="3"/>
      <c r="D12" s="3"/>
      <c r="E12" s="3"/>
      <c r="F12" s="3"/>
      <c r="G12" s="3"/>
      <c r="H12" s="3"/>
      <c r="I12" s="3"/>
      <c r="J12" s="3">
        <f t="shared" si="1"/>
        <v>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aca="true" t="shared" si="3" ref="AA12:AA25">SUM(K12:Z12)</f>
        <v>0</v>
      </c>
      <c r="AB12" s="4">
        <f t="shared" si="2"/>
        <v>0</v>
      </c>
    </row>
    <row r="13" spans="1:28" ht="30" customHeight="1">
      <c r="A13" s="10" t="s">
        <v>62</v>
      </c>
      <c r="B13" s="3"/>
      <c r="C13" s="3"/>
      <c r="D13" s="3"/>
      <c r="E13" s="3"/>
      <c r="F13" s="3"/>
      <c r="G13" s="3"/>
      <c r="H13" s="3"/>
      <c r="I13" s="3"/>
      <c r="J13" s="3">
        <f t="shared" si="1"/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 t="shared" si="3"/>
        <v>0</v>
      </c>
      <c r="AB13" s="4">
        <f t="shared" si="2"/>
        <v>0</v>
      </c>
    </row>
    <row r="14" spans="1:28" ht="30" customHeight="1">
      <c r="A14" s="10" t="s">
        <v>63</v>
      </c>
      <c r="B14" s="3"/>
      <c r="C14" s="3"/>
      <c r="D14" s="3"/>
      <c r="E14" s="3"/>
      <c r="F14" s="3"/>
      <c r="G14" s="3"/>
      <c r="H14" s="3"/>
      <c r="I14" s="3"/>
      <c r="J14" s="3">
        <f t="shared" si="1"/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 t="shared" si="3"/>
        <v>0</v>
      </c>
      <c r="AB14" s="4">
        <f t="shared" si="2"/>
        <v>0</v>
      </c>
    </row>
    <row r="15" spans="1:28" ht="30" customHeight="1">
      <c r="A15" s="10" t="s">
        <v>64</v>
      </c>
      <c r="B15" s="3"/>
      <c r="C15" s="3"/>
      <c r="D15" s="3"/>
      <c r="E15" s="3"/>
      <c r="F15" s="3"/>
      <c r="G15" s="3"/>
      <c r="H15" s="3"/>
      <c r="I15" s="3"/>
      <c r="J15" s="3">
        <f t="shared" si="1"/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>
        <f t="shared" si="3"/>
        <v>0</v>
      </c>
      <c r="AB15" s="4">
        <f t="shared" si="2"/>
        <v>0</v>
      </c>
    </row>
    <row r="16" spans="1:28" ht="30" customHeight="1">
      <c r="A16" s="10" t="s">
        <v>65</v>
      </c>
      <c r="B16" s="3">
        <v>70142</v>
      </c>
      <c r="C16" s="3"/>
      <c r="D16" s="3"/>
      <c r="E16" s="3"/>
      <c r="F16" s="3"/>
      <c r="G16" s="3"/>
      <c r="H16" s="3"/>
      <c r="I16" s="3"/>
      <c r="J16" s="3">
        <f t="shared" si="1"/>
        <v>70142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>
        <f t="shared" si="3"/>
        <v>0</v>
      </c>
      <c r="AB16" s="4">
        <f t="shared" si="2"/>
        <v>70142</v>
      </c>
    </row>
    <row r="17" spans="1:28" ht="30" customHeight="1">
      <c r="A17" s="10" t="s">
        <v>66</v>
      </c>
      <c r="B17" s="3"/>
      <c r="C17" s="3"/>
      <c r="D17" s="3"/>
      <c r="E17" s="3"/>
      <c r="F17" s="3"/>
      <c r="G17" s="3"/>
      <c r="H17" s="3"/>
      <c r="I17" s="3"/>
      <c r="J17" s="3">
        <f t="shared" si="1"/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>
        <f t="shared" si="3"/>
        <v>0</v>
      </c>
      <c r="AB17" s="4">
        <f t="shared" si="2"/>
        <v>0</v>
      </c>
    </row>
    <row r="18" spans="1:28" ht="30" customHeight="1">
      <c r="A18" s="12" t="s">
        <v>67</v>
      </c>
      <c r="B18" s="3"/>
      <c r="C18" s="3"/>
      <c r="D18" s="3"/>
      <c r="E18" s="3"/>
      <c r="F18" s="3"/>
      <c r="G18" s="3"/>
      <c r="H18" s="3"/>
      <c r="I18" s="3"/>
      <c r="J18" s="3">
        <f t="shared" si="1"/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3"/>
        <v>0</v>
      </c>
      <c r="AB18" s="4">
        <f t="shared" si="2"/>
        <v>0</v>
      </c>
    </row>
    <row r="19" spans="1:28" ht="30" customHeight="1">
      <c r="A19" s="12" t="s">
        <v>68</v>
      </c>
      <c r="B19" s="3"/>
      <c r="C19" s="3"/>
      <c r="D19" s="3"/>
      <c r="E19" s="3"/>
      <c r="F19" s="3"/>
      <c r="G19" s="3"/>
      <c r="H19" s="3"/>
      <c r="I19" s="3"/>
      <c r="J19" s="3">
        <f t="shared" si="1"/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3"/>
        <v>0</v>
      </c>
      <c r="AB19" s="4">
        <f t="shared" si="2"/>
        <v>0</v>
      </c>
    </row>
    <row r="20" spans="1:28" ht="30" customHeight="1">
      <c r="A20" s="10" t="s">
        <v>69</v>
      </c>
      <c r="B20" s="3"/>
      <c r="C20" s="3"/>
      <c r="D20" s="3"/>
      <c r="E20" s="3"/>
      <c r="F20" s="3"/>
      <c r="G20" s="3"/>
      <c r="H20" s="3"/>
      <c r="I20" s="3"/>
      <c r="J20" s="3">
        <f t="shared" si="1"/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3"/>
        <v>0</v>
      </c>
      <c r="AB20" s="4">
        <f t="shared" si="2"/>
        <v>0</v>
      </c>
    </row>
    <row r="21" spans="1:28" ht="30" customHeight="1">
      <c r="A21" s="12" t="s">
        <v>70</v>
      </c>
      <c r="B21" s="3"/>
      <c r="C21" s="3"/>
      <c r="D21" s="3"/>
      <c r="E21" s="3"/>
      <c r="F21" s="3"/>
      <c r="G21" s="3"/>
      <c r="H21" s="3"/>
      <c r="I21" s="3"/>
      <c r="J21" s="3">
        <f t="shared" si="1"/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3"/>
        <v>0</v>
      </c>
      <c r="AB21" s="4">
        <f t="shared" si="2"/>
        <v>0</v>
      </c>
    </row>
    <row r="22" spans="1:28" ht="30" customHeight="1">
      <c r="A22" s="10" t="s">
        <v>71</v>
      </c>
      <c r="B22" s="3"/>
      <c r="C22" s="3"/>
      <c r="D22" s="3"/>
      <c r="E22" s="3"/>
      <c r="F22" s="3"/>
      <c r="G22" s="3"/>
      <c r="H22" s="3"/>
      <c r="I22" s="3"/>
      <c r="J22" s="3">
        <f t="shared" si="1"/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>
        <f t="shared" si="3"/>
        <v>0</v>
      </c>
      <c r="AB22" s="4">
        <f t="shared" si="2"/>
        <v>0</v>
      </c>
    </row>
    <row r="23" spans="1:28" ht="30" customHeight="1">
      <c r="A23" s="10" t="s">
        <v>72</v>
      </c>
      <c r="B23" s="3"/>
      <c r="C23" s="3"/>
      <c r="D23" s="3"/>
      <c r="E23" s="3"/>
      <c r="F23" s="3"/>
      <c r="G23" s="3"/>
      <c r="H23" s="3"/>
      <c r="I23" s="3"/>
      <c r="J23" s="3">
        <f t="shared" si="1"/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>
        <f t="shared" si="3"/>
        <v>0</v>
      </c>
      <c r="AB23" s="4">
        <f t="shared" si="2"/>
        <v>0</v>
      </c>
    </row>
    <row r="24" spans="1:28" ht="30" customHeight="1">
      <c r="A24" s="66" t="s">
        <v>185</v>
      </c>
      <c r="B24" s="93">
        <f>996612-20</f>
        <v>996592</v>
      </c>
      <c r="C24" s="93">
        <f>1298018-191-1</f>
        <v>1297826</v>
      </c>
      <c r="D24" s="3"/>
      <c r="E24" s="3">
        <v>19</v>
      </c>
      <c r="F24" s="3">
        <v>3384</v>
      </c>
      <c r="G24" s="3">
        <v>22300</v>
      </c>
      <c r="H24" s="93">
        <f>1757861-38780</f>
        <v>1719081</v>
      </c>
      <c r="I24" s="3">
        <v>245</v>
      </c>
      <c r="J24" s="3">
        <f>SUM(B24:I24)</f>
        <v>4039447</v>
      </c>
      <c r="K24" s="3"/>
      <c r="L24" s="3"/>
      <c r="M24" s="3"/>
      <c r="N24" s="3"/>
      <c r="O24" s="3"/>
      <c r="P24" s="93">
        <f>3366977-87940</f>
        <v>3279037</v>
      </c>
      <c r="Q24" s="3"/>
      <c r="R24" s="3"/>
      <c r="S24" s="3"/>
      <c r="T24" s="3"/>
      <c r="U24" s="3">
        <v>11637</v>
      </c>
      <c r="V24" s="3"/>
      <c r="W24" s="3">
        <v>61178</v>
      </c>
      <c r="X24" s="3">
        <v>50649</v>
      </c>
      <c r="Y24" s="3">
        <v>216977</v>
      </c>
      <c r="Z24" s="3"/>
      <c r="AA24" s="3">
        <f>SUM(K24:Z24)</f>
        <v>3619478</v>
      </c>
      <c r="AB24" s="4">
        <f t="shared" si="2"/>
        <v>7658925</v>
      </c>
    </row>
    <row r="25" spans="1:28" ht="30" customHeight="1">
      <c r="A25" s="12" t="s">
        <v>99</v>
      </c>
      <c r="B25" s="3">
        <v>17391</v>
      </c>
      <c r="C25" s="3"/>
      <c r="D25" s="3"/>
      <c r="E25" s="3"/>
      <c r="F25" s="3"/>
      <c r="G25" s="3"/>
      <c r="H25" s="3"/>
      <c r="I25" s="3"/>
      <c r="J25" s="3">
        <f t="shared" si="1"/>
        <v>17391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>
        <f t="shared" si="3"/>
        <v>0</v>
      </c>
      <c r="AB25" s="4">
        <f t="shared" si="2"/>
        <v>17391</v>
      </c>
    </row>
    <row r="26" spans="1:27" ht="48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8" ht="30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85"/>
    </row>
  </sheetData>
  <mergeCells count="1">
    <mergeCell ref="X6:X9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B27"/>
  <sheetViews>
    <sheetView showGridLines="0" zoomScale="75" zoomScaleNormal="75" workbookViewId="0" topLeftCell="A4">
      <pane xSplit="1" ySplit="7" topLeftCell="P13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ColWidth="9.00390625" defaultRowHeight="15.75"/>
  <cols>
    <col min="1" max="1" width="27.375" style="83" customWidth="1"/>
    <col min="2" max="2" width="10.125" style="83" customWidth="1"/>
    <col min="3" max="3" width="10.00390625" style="83" customWidth="1"/>
    <col min="4" max="4" width="8.75390625" style="83" customWidth="1"/>
    <col min="5" max="6" width="9.00390625" style="83" customWidth="1"/>
    <col min="7" max="7" width="11.00390625" style="83" customWidth="1"/>
    <col min="8" max="8" width="11.50390625" style="83" customWidth="1"/>
    <col min="9" max="9" width="9.00390625" style="83" customWidth="1"/>
    <col min="10" max="10" width="11.50390625" style="83" customWidth="1"/>
    <col min="11" max="12" width="9.875" style="83" customWidth="1"/>
    <col min="13" max="13" width="10.125" style="83" customWidth="1"/>
    <col min="14" max="14" width="11.00390625" style="83" customWidth="1"/>
    <col min="15" max="15" width="11.875" style="83" customWidth="1"/>
    <col min="16" max="16" width="10.625" style="83" customWidth="1"/>
    <col min="17" max="17" width="11.25390625" style="83" customWidth="1"/>
    <col min="18" max="18" width="11.50390625" style="83" customWidth="1"/>
    <col min="19" max="22" width="9.00390625" style="83" customWidth="1"/>
    <col min="23" max="23" width="9.75390625" style="83" bestFit="1" customWidth="1"/>
    <col min="24" max="24" width="9.25390625" style="83" customWidth="1"/>
    <col min="25" max="25" width="9.25390625" style="83" bestFit="1" customWidth="1"/>
    <col min="26" max="26" width="9.00390625" style="83" customWidth="1"/>
    <col min="27" max="27" width="10.375" style="83" customWidth="1"/>
    <col min="28" max="28" width="12.25390625" style="83" customWidth="1"/>
    <col min="29" max="16384" width="9.00390625" style="83" customWidth="1"/>
  </cols>
  <sheetData>
    <row r="1" spans="1:20" s="68" customFormat="1" ht="21">
      <c r="A1" s="67"/>
      <c r="B1" s="83"/>
      <c r="C1" s="83"/>
      <c r="D1" s="83"/>
      <c r="E1" s="2"/>
      <c r="F1" s="15" t="s">
        <v>95</v>
      </c>
      <c r="G1" s="16" t="s">
        <v>96</v>
      </c>
      <c r="S1" s="15" t="s">
        <v>95</v>
      </c>
      <c r="T1" s="16" t="s">
        <v>96</v>
      </c>
    </row>
    <row r="2" spans="4:20" s="68" customFormat="1" ht="27.75">
      <c r="D2" s="1"/>
      <c r="E2" s="1"/>
      <c r="F2" s="17" t="s">
        <v>97</v>
      </c>
      <c r="G2" s="18" t="s">
        <v>98</v>
      </c>
      <c r="S2" s="17" t="s">
        <v>97</v>
      </c>
      <c r="T2" s="18" t="s">
        <v>98</v>
      </c>
    </row>
    <row r="3" spans="6:28" s="68" customFormat="1" ht="16.5">
      <c r="F3" s="19" t="s">
        <v>126</v>
      </c>
      <c r="G3" s="35" t="s">
        <v>127</v>
      </c>
      <c r="M3" s="20" t="s">
        <v>0</v>
      </c>
      <c r="S3" s="19" t="s">
        <v>126</v>
      </c>
      <c r="T3" s="35" t="s">
        <v>127</v>
      </c>
      <c r="AB3" s="20" t="s">
        <v>0</v>
      </c>
    </row>
    <row r="4" spans="1:28" s="68" customFormat="1" ht="30" customHeight="1">
      <c r="A4" s="21" t="s">
        <v>213</v>
      </c>
      <c r="B4" s="22" t="s">
        <v>186</v>
      </c>
      <c r="C4" s="69"/>
      <c r="D4" s="69"/>
      <c r="E4" s="69"/>
      <c r="F4" s="69"/>
      <c r="G4" s="69"/>
      <c r="H4" s="69"/>
      <c r="I4" s="69"/>
      <c r="J4" s="70"/>
      <c r="K4" s="23" t="s">
        <v>187</v>
      </c>
      <c r="L4" s="71"/>
      <c r="M4" s="71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3"/>
      <c r="AB4" s="74"/>
    </row>
    <row r="5" spans="1:28" s="78" customFormat="1" ht="25.5" customHeight="1">
      <c r="A5" s="24" t="s">
        <v>129</v>
      </c>
      <c r="B5" s="25" t="s">
        <v>4</v>
      </c>
      <c r="C5" s="25" t="s">
        <v>5</v>
      </c>
      <c r="D5" s="25" t="s">
        <v>6</v>
      </c>
      <c r="E5" s="25" t="s">
        <v>7</v>
      </c>
      <c r="F5" s="26" t="s">
        <v>188</v>
      </c>
      <c r="G5" s="75"/>
      <c r="H5" s="75"/>
      <c r="I5" s="76"/>
      <c r="J5" s="44" t="s">
        <v>112</v>
      </c>
      <c r="K5" s="26" t="s">
        <v>189</v>
      </c>
      <c r="L5" s="75"/>
      <c r="M5" s="76"/>
      <c r="N5" s="26" t="s">
        <v>190</v>
      </c>
      <c r="O5" s="75"/>
      <c r="P5" s="75"/>
      <c r="Q5" s="76"/>
      <c r="R5" s="25" t="s">
        <v>11</v>
      </c>
      <c r="S5" s="25" t="s">
        <v>12</v>
      </c>
      <c r="T5" s="26" t="s">
        <v>191</v>
      </c>
      <c r="U5" s="75"/>
      <c r="V5" s="75"/>
      <c r="W5" s="75"/>
      <c r="X5" s="75"/>
      <c r="Y5" s="75"/>
      <c r="Z5" s="77"/>
      <c r="AA5" s="25" t="s">
        <v>13</v>
      </c>
      <c r="AB5" s="27" t="s">
        <v>14</v>
      </c>
    </row>
    <row r="6" spans="1:28" s="68" customFormat="1" ht="16.5">
      <c r="A6" s="79"/>
      <c r="B6" s="80"/>
      <c r="C6" s="28" t="s">
        <v>15</v>
      </c>
      <c r="D6" s="28" t="s">
        <v>16</v>
      </c>
      <c r="E6" s="28" t="s">
        <v>192</v>
      </c>
      <c r="F6" s="80"/>
      <c r="G6" s="80"/>
      <c r="H6" s="80"/>
      <c r="I6" s="80"/>
      <c r="J6" s="28" t="s">
        <v>193</v>
      </c>
      <c r="K6" s="80"/>
      <c r="L6" s="43" t="s">
        <v>194</v>
      </c>
      <c r="M6" s="43" t="s">
        <v>195</v>
      </c>
      <c r="N6" s="80" t="s">
        <v>17</v>
      </c>
      <c r="O6" s="80"/>
      <c r="P6" s="80"/>
      <c r="Q6" s="80"/>
      <c r="R6" s="28" t="s">
        <v>18</v>
      </c>
      <c r="S6" s="28" t="s">
        <v>196</v>
      </c>
      <c r="T6" s="80" t="s">
        <v>17</v>
      </c>
      <c r="U6" s="80" t="s">
        <v>17</v>
      </c>
      <c r="V6" s="80"/>
      <c r="W6" s="80"/>
      <c r="X6" s="107" t="s">
        <v>183</v>
      </c>
      <c r="Y6" s="80"/>
      <c r="Z6" s="80"/>
      <c r="AA6" s="28" t="s">
        <v>197</v>
      </c>
      <c r="AB6" s="81"/>
    </row>
    <row r="7" spans="1:28" s="68" customFormat="1" ht="16.5">
      <c r="A7" s="79"/>
      <c r="B7" s="28" t="s">
        <v>19</v>
      </c>
      <c r="C7" s="28" t="s">
        <v>198</v>
      </c>
      <c r="D7" s="80"/>
      <c r="E7" s="80" t="s">
        <v>17</v>
      </c>
      <c r="F7" s="28" t="s">
        <v>20</v>
      </c>
      <c r="G7" s="28" t="s">
        <v>21</v>
      </c>
      <c r="H7" s="28" t="s">
        <v>20</v>
      </c>
      <c r="I7" s="28" t="s">
        <v>20</v>
      </c>
      <c r="J7" s="80"/>
      <c r="K7" s="28" t="s">
        <v>22</v>
      </c>
      <c r="L7" s="28" t="s">
        <v>199</v>
      </c>
      <c r="M7" s="28" t="s">
        <v>23</v>
      </c>
      <c r="N7" s="28" t="s">
        <v>20</v>
      </c>
      <c r="O7" s="28" t="s">
        <v>21</v>
      </c>
      <c r="P7" s="28" t="s">
        <v>20</v>
      </c>
      <c r="Q7" s="28" t="s">
        <v>20</v>
      </c>
      <c r="R7" s="80"/>
      <c r="S7" s="80"/>
      <c r="T7" s="28" t="s">
        <v>24</v>
      </c>
      <c r="U7" s="28" t="s">
        <v>25</v>
      </c>
      <c r="V7" s="28" t="s">
        <v>26</v>
      </c>
      <c r="W7" s="28" t="s">
        <v>27</v>
      </c>
      <c r="X7" s="108"/>
      <c r="Y7" s="28" t="s">
        <v>28</v>
      </c>
      <c r="Z7" s="28" t="s">
        <v>29</v>
      </c>
      <c r="AA7" s="80"/>
      <c r="AB7" s="81"/>
    </row>
    <row r="8" spans="1:28" s="68" customFormat="1" ht="16.5">
      <c r="A8" s="29" t="s">
        <v>130</v>
      </c>
      <c r="B8" s="80"/>
      <c r="C8" s="28" t="s">
        <v>31</v>
      </c>
      <c r="D8" s="28" t="s">
        <v>32</v>
      </c>
      <c r="E8" s="28" t="s">
        <v>200</v>
      </c>
      <c r="F8" s="28" t="s">
        <v>33</v>
      </c>
      <c r="G8" s="28" t="s">
        <v>34</v>
      </c>
      <c r="H8" s="28" t="s">
        <v>35</v>
      </c>
      <c r="I8" s="28" t="s">
        <v>36</v>
      </c>
      <c r="J8" s="28" t="s">
        <v>201</v>
      </c>
      <c r="K8" s="80"/>
      <c r="L8" s="28" t="s">
        <v>202</v>
      </c>
      <c r="M8" s="80"/>
      <c r="N8" s="28" t="s">
        <v>33</v>
      </c>
      <c r="O8" s="28" t="s">
        <v>34</v>
      </c>
      <c r="P8" s="28" t="s">
        <v>35</v>
      </c>
      <c r="Q8" s="28" t="s">
        <v>36</v>
      </c>
      <c r="R8" s="28" t="s">
        <v>37</v>
      </c>
      <c r="S8" s="28" t="s">
        <v>203</v>
      </c>
      <c r="T8" s="80"/>
      <c r="U8" s="28" t="s">
        <v>24</v>
      </c>
      <c r="V8" s="80"/>
      <c r="W8" s="80"/>
      <c r="X8" s="108"/>
      <c r="Y8" s="28" t="s">
        <v>38</v>
      </c>
      <c r="Z8" s="80"/>
      <c r="AA8" s="28" t="s">
        <v>201</v>
      </c>
      <c r="AB8" s="30" t="s">
        <v>39</v>
      </c>
    </row>
    <row r="9" spans="1:28" s="68" customFormat="1" ht="16.5">
      <c r="A9" s="31" t="s">
        <v>129</v>
      </c>
      <c r="B9" s="32" t="s">
        <v>40</v>
      </c>
      <c r="C9" s="32" t="s">
        <v>41</v>
      </c>
      <c r="D9" s="32" t="s">
        <v>42</v>
      </c>
      <c r="E9" s="32" t="s">
        <v>43</v>
      </c>
      <c r="F9" s="32" t="s">
        <v>44</v>
      </c>
      <c r="G9" s="32" t="s">
        <v>45</v>
      </c>
      <c r="H9" s="32" t="s">
        <v>46</v>
      </c>
      <c r="I9" s="32" t="s">
        <v>47</v>
      </c>
      <c r="J9" s="32" t="s">
        <v>48</v>
      </c>
      <c r="K9" s="32" t="s">
        <v>49</v>
      </c>
      <c r="L9" s="32" t="s">
        <v>204</v>
      </c>
      <c r="M9" s="32" t="s">
        <v>51</v>
      </c>
      <c r="N9" s="32" t="s">
        <v>44</v>
      </c>
      <c r="O9" s="32" t="s">
        <v>205</v>
      </c>
      <c r="P9" s="32" t="s">
        <v>46</v>
      </c>
      <c r="Q9" s="32" t="s">
        <v>47</v>
      </c>
      <c r="R9" s="32" t="s">
        <v>52</v>
      </c>
      <c r="S9" s="32" t="s">
        <v>53</v>
      </c>
      <c r="T9" s="32" t="s">
        <v>54</v>
      </c>
      <c r="U9" s="32" t="s">
        <v>54</v>
      </c>
      <c r="V9" s="32" t="s">
        <v>55</v>
      </c>
      <c r="W9" s="32" t="s">
        <v>56</v>
      </c>
      <c r="X9" s="109"/>
      <c r="Y9" s="32" t="s">
        <v>57</v>
      </c>
      <c r="Z9" s="32" t="s">
        <v>58</v>
      </c>
      <c r="AA9" s="32" t="s">
        <v>48</v>
      </c>
      <c r="AB9" s="82"/>
    </row>
    <row r="10" spans="1:28" ht="30" customHeight="1">
      <c r="A10" s="79" t="s">
        <v>131</v>
      </c>
      <c r="B10" s="3">
        <f aca="true" t="shared" si="0" ref="B10:AB10">SUM(B11:B25)</f>
        <v>8471461</v>
      </c>
      <c r="C10" s="3">
        <f t="shared" si="0"/>
        <v>2180610</v>
      </c>
      <c r="D10" s="3">
        <f t="shared" si="0"/>
        <v>0</v>
      </c>
      <c r="E10" s="3">
        <f t="shared" si="0"/>
        <v>1939</v>
      </c>
      <c r="F10" s="3">
        <f t="shared" si="0"/>
        <v>0</v>
      </c>
      <c r="G10" s="3">
        <f t="shared" si="0"/>
        <v>11770</v>
      </c>
      <c r="H10" s="3">
        <f t="shared" si="0"/>
        <v>586</v>
      </c>
      <c r="I10" s="3">
        <f t="shared" si="0"/>
        <v>0</v>
      </c>
      <c r="J10" s="3">
        <f t="shared" si="0"/>
        <v>10666366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3">
        <f t="shared" si="0"/>
        <v>0</v>
      </c>
      <c r="Q10" s="3">
        <f t="shared" si="0"/>
        <v>0</v>
      </c>
      <c r="R10" s="3">
        <f t="shared" si="0"/>
        <v>0</v>
      </c>
      <c r="S10" s="3">
        <f t="shared" si="0"/>
        <v>0</v>
      </c>
      <c r="T10" s="3">
        <f t="shared" si="0"/>
        <v>0</v>
      </c>
      <c r="U10" s="3">
        <f t="shared" si="0"/>
        <v>241585</v>
      </c>
      <c r="V10" s="3">
        <f t="shared" si="0"/>
        <v>257978</v>
      </c>
      <c r="W10" s="3">
        <f t="shared" si="0"/>
        <v>930129</v>
      </c>
      <c r="X10" s="3">
        <f>SUM(X11:X25)</f>
        <v>4111</v>
      </c>
      <c r="Y10" s="3">
        <f t="shared" si="0"/>
        <v>310054</v>
      </c>
      <c r="Z10" s="3">
        <f t="shared" si="0"/>
        <v>0</v>
      </c>
      <c r="AA10" s="3">
        <f t="shared" si="0"/>
        <v>1743857</v>
      </c>
      <c r="AB10" s="5">
        <f t="shared" si="0"/>
        <v>12410223</v>
      </c>
    </row>
    <row r="11" spans="1:28" ht="30" customHeight="1">
      <c r="A11" s="10" t="s">
        <v>60</v>
      </c>
      <c r="B11" s="3"/>
      <c r="C11" s="3"/>
      <c r="D11" s="3"/>
      <c r="E11" s="3"/>
      <c r="F11" s="3"/>
      <c r="G11" s="3"/>
      <c r="H11" s="3"/>
      <c r="I11" s="3"/>
      <c r="J11" s="3">
        <f aca="true" t="shared" si="1" ref="J11:J25">SUM(B11:I11)</f>
        <v>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>
        <f>SUM(K11:Z11)</f>
        <v>0</v>
      </c>
      <c r="AB11" s="4">
        <f aca="true" t="shared" si="2" ref="AB11:AB25">SUM(J11,AA11)</f>
        <v>0</v>
      </c>
    </row>
    <row r="12" spans="1:28" ht="30" customHeight="1">
      <c r="A12" s="12" t="s">
        <v>132</v>
      </c>
      <c r="B12" s="3"/>
      <c r="C12" s="3"/>
      <c r="D12" s="3"/>
      <c r="E12" s="3"/>
      <c r="F12" s="3"/>
      <c r="G12" s="3"/>
      <c r="H12" s="3"/>
      <c r="I12" s="3"/>
      <c r="J12" s="3">
        <f t="shared" si="1"/>
        <v>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aca="true" t="shared" si="3" ref="AA12:AA25">SUM(K12:Z12)</f>
        <v>0</v>
      </c>
      <c r="AB12" s="4">
        <f t="shared" si="2"/>
        <v>0</v>
      </c>
    </row>
    <row r="13" spans="1:28" ht="30" customHeight="1">
      <c r="A13" s="10" t="s">
        <v>62</v>
      </c>
      <c r="B13" s="3">
        <v>8347692</v>
      </c>
      <c r="C13" s="3">
        <v>2180610</v>
      </c>
      <c r="D13" s="3"/>
      <c r="E13" s="3">
        <v>1939</v>
      </c>
      <c r="F13" s="3"/>
      <c r="G13" s="3">
        <v>11770</v>
      </c>
      <c r="H13" s="3">
        <v>586</v>
      </c>
      <c r="I13" s="3"/>
      <c r="J13" s="3">
        <f t="shared" si="1"/>
        <v>10542597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>
        <v>241585</v>
      </c>
      <c r="V13" s="3">
        <v>257978</v>
      </c>
      <c r="W13" s="3">
        <v>930129</v>
      </c>
      <c r="X13" s="3">
        <v>4111</v>
      </c>
      <c r="Y13" s="3">
        <v>310054</v>
      </c>
      <c r="Z13" s="3"/>
      <c r="AA13" s="3">
        <f t="shared" si="3"/>
        <v>1743857</v>
      </c>
      <c r="AB13" s="4">
        <f t="shared" si="2"/>
        <v>12286454</v>
      </c>
    </row>
    <row r="14" spans="1:28" ht="30" customHeight="1">
      <c r="A14" s="10" t="s">
        <v>63</v>
      </c>
      <c r="B14" s="3"/>
      <c r="C14" s="3"/>
      <c r="D14" s="3"/>
      <c r="E14" s="3"/>
      <c r="F14" s="3"/>
      <c r="G14" s="3"/>
      <c r="H14" s="3"/>
      <c r="I14" s="3"/>
      <c r="J14" s="3">
        <f t="shared" si="1"/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 t="shared" si="3"/>
        <v>0</v>
      </c>
      <c r="AB14" s="4">
        <f t="shared" si="2"/>
        <v>0</v>
      </c>
    </row>
    <row r="15" spans="1:28" ht="30" customHeight="1">
      <c r="A15" s="10" t="s">
        <v>64</v>
      </c>
      <c r="B15" s="3"/>
      <c r="C15" s="3"/>
      <c r="D15" s="3"/>
      <c r="E15" s="3"/>
      <c r="F15" s="3"/>
      <c r="G15" s="3"/>
      <c r="H15" s="3"/>
      <c r="I15" s="3"/>
      <c r="J15" s="3">
        <f t="shared" si="1"/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>
        <f t="shared" si="3"/>
        <v>0</v>
      </c>
      <c r="AB15" s="4">
        <f t="shared" si="2"/>
        <v>0</v>
      </c>
    </row>
    <row r="16" spans="1:28" ht="30" customHeight="1">
      <c r="A16" s="10" t="s">
        <v>65</v>
      </c>
      <c r="B16" s="3">
        <v>77103</v>
      </c>
      <c r="C16" s="3"/>
      <c r="D16" s="3"/>
      <c r="E16" s="3"/>
      <c r="F16" s="3"/>
      <c r="G16" s="3"/>
      <c r="H16" s="3"/>
      <c r="I16" s="3"/>
      <c r="J16" s="3">
        <f t="shared" si="1"/>
        <v>77103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>
        <f t="shared" si="3"/>
        <v>0</v>
      </c>
      <c r="AB16" s="4">
        <f t="shared" si="2"/>
        <v>77103</v>
      </c>
    </row>
    <row r="17" spans="1:28" ht="30" customHeight="1">
      <c r="A17" s="10" t="s">
        <v>66</v>
      </c>
      <c r="B17" s="3"/>
      <c r="C17" s="3"/>
      <c r="D17" s="3"/>
      <c r="E17" s="3"/>
      <c r="F17" s="3"/>
      <c r="G17" s="3"/>
      <c r="H17" s="3"/>
      <c r="I17" s="3"/>
      <c r="J17" s="3">
        <f t="shared" si="1"/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>
        <f t="shared" si="3"/>
        <v>0</v>
      </c>
      <c r="AB17" s="4">
        <f t="shared" si="2"/>
        <v>0</v>
      </c>
    </row>
    <row r="18" spans="1:28" ht="30" customHeight="1">
      <c r="A18" s="12" t="s">
        <v>67</v>
      </c>
      <c r="B18" s="3"/>
      <c r="C18" s="3"/>
      <c r="D18" s="3"/>
      <c r="E18" s="3"/>
      <c r="F18" s="3"/>
      <c r="G18" s="3"/>
      <c r="H18" s="3"/>
      <c r="I18" s="3"/>
      <c r="J18" s="3">
        <f t="shared" si="1"/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3"/>
        <v>0</v>
      </c>
      <c r="AB18" s="4">
        <f t="shared" si="2"/>
        <v>0</v>
      </c>
    </row>
    <row r="19" spans="1:28" ht="30" customHeight="1">
      <c r="A19" s="12" t="s">
        <v>68</v>
      </c>
      <c r="B19" s="3"/>
      <c r="C19" s="3"/>
      <c r="D19" s="3"/>
      <c r="E19" s="3"/>
      <c r="F19" s="3"/>
      <c r="G19" s="3"/>
      <c r="H19" s="3"/>
      <c r="I19" s="3"/>
      <c r="J19" s="3">
        <f t="shared" si="1"/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3"/>
        <v>0</v>
      </c>
      <c r="AB19" s="4">
        <f t="shared" si="2"/>
        <v>0</v>
      </c>
    </row>
    <row r="20" spans="1:28" ht="30" customHeight="1">
      <c r="A20" s="10" t="s">
        <v>69</v>
      </c>
      <c r="B20" s="3"/>
      <c r="C20" s="3"/>
      <c r="D20" s="3"/>
      <c r="E20" s="3"/>
      <c r="F20" s="3"/>
      <c r="G20" s="3"/>
      <c r="H20" s="3"/>
      <c r="I20" s="3"/>
      <c r="J20" s="3">
        <f t="shared" si="1"/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3"/>
        <v>0</v>
      </c>
      <c r="AB20" s="4">
        <f t="shared" si="2"/>
        <v>0</v>
      </c>
    </row>
    <row r="21" spans="1:28" ht="30" customHeight="1">
      <c r="A21" s="12" t="s">
        <v>70</v>
      </c>
      <c r="B21" s="3"/>
      <c r="C21" s="3"/>
      <c r="D21" s="3"/>
      <c r="E21" s="3"/>
      <c r="F21" s="3"/>
      <c r="G21" s="3"/>
      <c r="H21" s="3"/>
      <c r="I21" s="3"/>
      <c r="J21" s="3">
        <f t="shared" si="1"/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3"/>
        <v>0</v>
      </c>
      <c r="AB21" s="4">
        <f t="shared" si="2"/>
        <v>0</v>
      </c>
    </row>
    <row r="22" spans="1:28" ht="30" customHeight="1">
      <c r="A22" s="10" t="s">
        <v>71</v>
      </c>
      <c r="B22" s="3"/>
      <c r="C22" s="3"/>
      <c r="D22" s="3"/>
      <c r="E22" s="3"/>
      <c r="F22" s="3"/>
      <c r="G22" s="3"/>
      <c r="H22" s="3"/>
      <c r="I22" s="3"/>
      <c r="J22" s="3">
        <f t="shared" si="1"/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>
        <f t="shared" si="3"/>
        <v>0</v>
      </c>
      <c r="AB22" s="4">
        <f t="shared" si="2"/>
        <v>0</v>
      </c>
    </row>
    <row r="23" spans="1:28" ht="30" customHeight="1">
      <c r="A23" s="10" t="s">
        <v>72</v>
      </c>
      <c r="B23" s="3"/>
      <c r="C23" s="3"/>
      <c r="D23" s="3"/>
      <c r="E23" s="3"/>
      <c r="F23" s="3"/>
      <c r="G23" s="3"/>
      <c r="H23" s="3"/>
      <c r="I23" s="3"/>
      <c r="J23" s="3">
        <f t="shared" si="1"/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>
        <f t="shared" si="3"/>
        <v>0</v>
      </c>
      <c r="AB23" s="4">
        <f t="shared" si="2"/>
        <v>0</v>
      </c>
    </row>
    <row r="24" spans="1:28" ht="30" customHeight="1">
      <c r="A24" s="84" t="s">
        <v>214</v>
      </c>
      <c r="B24" s="3">
        <v>39865</v>
      </c>
      <c r="C24" s="3"/>
      <c r="D24" s="3"/>
      <c r="E24" s="3"/>
      <c r="F24" s="3"/>
      <c r="G24" s="3"/>
      <c r="H24" s="3"/>
      <c r="I24" s="3"/>
      <c r="J24" s="3">
        <f>SUM(B24:I24)</f>
        <v>39865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>
        <f>SUM(K24:Z24)</f>
        <v>0</v>
      </c>
      <c r="AB24" s="4">
        <f t="shared" si="2"/>
        <v>39865</v>
      </c>
    </row>
    <row r="25" spans="1:28" ht="30" customHeight="1">
      <c r="A25" s="12" t="s">
        <v>215</v>
      </c>
      <c r="B25" s="3">
        <v>6801</v>
      </c>
      <c r="C25" s="3"/>
      <c r="D25" s="3"/>
      <c r="E25" s="3"/>
      <c r="F25" s="3"/>
      <c r="G25" s="3"/>
      <c r="H25" s="3"/>
      <c r="I25" s="3"/>
      <c r="J25" s="3">
        <f t="shared" si="1"/>
        <v>6801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>
        <f t="shared" si="3"/>
        <v>0</v>
      </c>
      <c r="AB25" s="4">
        <f t="shared" si="2"/>
        <v>6801</v>
      </c>
    </row>
    <row r="26" spans="1:27" ht="48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8" ht="30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85"/>
    </row>
  </sheetData>
  <mergeCells count="1">
    <mergeCell ref="X6:X9"/>
  </mergeCells>
  <printOptions horizontalCentered="1" verticalCentered="1"/>
  <pageMargins left="0.7480314960629921" right="0.7480314960629921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F27"/>
  <sheetViews>
    <sheetView zoomScale="75" zoomScaleNormal="75" workbookViewId="0" topLeftCell="A5">
      <pane xSplit="1" ySplit="6" topLeftCell="S13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ColWidth="9.00390625" defaultRowHeight="15.75"/>
  <cols>
    <col min="1" max="1" width="27.375" style="0" customWidth="1"/>
    <col min="2" max="2" width="10.125" style="83" customWidth="1"/>
    <col min="3" max="3" width="10.00390625" style="83" customWidth="1"/>
    <col min="4" max="4" width="8.75390625" style="83" customWidth="1"/>
    <col min="5" max="5" width="9.00390625" style="83" customWidth="1"/>
    <col min="6" max="6" width="9.375" style="83" bestFit="1" customWidth="1"/>
    <col min="7" max="7" width="11.00390625" style="83" customWidth="1"/>
    <col min="8" max="8" width="11.50390625" style="83" customWidth="1"/>
    <col min="9" max="9" width="9.00390625" style="83" customWidth="1"/>
    <col min="10" max="10" width="11.50390625" style="83" customWidth="1"/>
    <col min="11" max="12" width="9.875" style="83" customWidth="1"/>
    <col min="13" max="13" width="10.125" style="83" customWidth="1"/>
    <col min="14" max="14" width="11.00390625" style="83" customWidth="1"/>
    <col min="15" max="15" width="11.875" style="83" customWidth="1"/>
    <col min="16" max="16" width="10.625" style="83" customWidth="1"/>
    <col min="17" max="17" width="11.25390625" style="83" customWidth="1"/>
    <col min="18" max="18" width="11.50390625" style="83" customWidth="1"/>
    <col min="19" max="20" width="9.00390625" style="83" customWidth="1"/>
    <col min="21" max="22" width="9.375" style="83" bestFit="1" customWidth="1"/>
    <col min="23" max="23" width="9.00390625" style="83" customWidth="1"/>
    <col min="24" max="24" width="9.375" style="83" customWidth="1"/>
    <col min="25" max="25" width="9.375" style="83" bestFit="1" customWidth="1"/>
    <col min="26" max="26" width="9.00390625" style="83" customWidth="1"/>
    <col min="27" max="27" width="10.375" style="83" customWidth="1"/>
    <col min="28" max="28" width="12.25390625" style="83" customWidth="1"/>
    <col min="29" max="29" width="10.50390625" style="0" bestFit="1" customWidth="1"/>
    <col min="30" max="30" width="13.50390625" style="0" bestFit="1" customWidth="1"/>
    <col min="31" max="31" width="12.00390625" style="0" customWidth="1"/>
    <col min="32" max="32" width="13.375" style="0" customWidth="1"/>
  </cols>
  <sheetData>
    <row r="1" spans="5:28" ht="21">
      <c r="E1" s="2"/>
      <c r="F1" s="15" t="s">
        <v>95</v>
      </c>
      <c r="G1" s="16" t="s">
        <v>96</v>
      </c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15" t="s">
        <v>95</v>
      </c>
      <c r="T1" s="16" t="s">
        <v>96</v>
      </c>
      <c r="U1" s="68"/>
      <c r="V1" s="68"/>
      <c r="W1" s="68"/>
      <c r="X1" s="68"/>
      <c r="Y1" s="68"/>
      <c r="Z1" s="68"/>
      <c r="AA1" s="68"/>
      <c r="AB1" s="68"/>
    </row>
    <row r="2" spans="2:28" ht="27.75">
      <c r="B2" s="68"/>
      <c r="C2" s="68"/>
      <c r="D2" s="1"/>
      <c r="E2" s="1"/>
      <c r="F2" s="17" t="s">
        <v>97</v>
      </c>
      <c r="G2" s="18" t="s">
        <v>98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17" t="s">
        <v>97</v>
      </c>
      <c r="T2" s="18" t="s">
        <v>98</v>
      </c>
      <c r="U2" s="68"/>
      <c r="V2" s="68"/>
      <c r="W2" s="68"/>
      <c r="X2" s="68"/>
      <c r="Y2" s="68"/>
      <c r="Z2" s="68"/>
      <c r="AA2" s="68"/>
      <c r="AB2" s="68"/>
    </row>
    <row r="3" spans="2:28" ht="16.5">
      <c r="B3" s="68"/>
      <c r="C3" s="68"/>
      <c r="D3" s="68"/>
      <c r="E3" s="68"/>
      <c r="F3" s="19" t="s">
        <v>217</v>
      </c>
      <c r="G3" s="92" t="s">
        <v>218</v>
      </c>
      <c r="H3" s="68"/>
      <c r="I3" s="68"/>
      <c r="J3" s="68"/>
      <c r="K3" s="68"/>
      <c r="L3" s="68"/>
      <c r="M3" s="20" t="s">
        <v>0</v>
      </c>
      <c r="N3" s="68"/>
      <c r="O3" s="68"/>
      <c r="P3" s="68"/>
      <c r="Q3" s="68"/>
      <c r="R3" s="68"/>
      <c r="S3" s="19" t="s">
        <v>217</v>
      </c>
      <c r="T3" s="92" t="s">
        <v>218</v>
      </c>
      <c r="U3" s="68"/>
      <c r="V3" s="68"/>
      <c r="W3" s="68"/>
      <c r="X3" s="68"/>
      <c r="Y3" s="68"/>
      <c r="Z3" s="68"/>
      <c r="AA3" s="68"/>
      <c r="AB3" s="20" t="s">
        <v>0</v>
      </c>
    </row>
    <row r="4" spans="1:28" ht="30" customHeight="1">
      <c r="A4" s="21" t="s">
        <v>1</v>
      </c>
      <c r="B4" s="22" t="s">
        <v>186</v>
      </c>
      <c r="C4" s="69"/>
      <c r="D4" s="69"/>
      <c r="E4" s="69"/>
      <c r="F4" s="69"/>
      <c r="G4" s="69"/>
      <c r="H4" s="69"/>
      <c r="I4" s="69"/>
      <c r="J4" s="70"/>
      <c r="K4" s="23" t="s">
        <v>187</v>
      </c>
      <c r="L4" s="71"/>
      <c r="M4" s="71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3"/>
      <c r="AB4" s="74"/>
    </row>
    <row r="5" spans="1:28" s="9" customFormat="1" ht="25.5" customHeight="1">
      <c r="A5" s="24" t="s">
        <v>3</v>
      </c>
      <c r="B5" s="25" t="s">
        <v>4</v>
      </c>
      <c r="C5" s="25" t="s">
        <v>5</v>
      </c>
      <c r="D5" s="25" t="s">
        <v>6</v>
      </c>
      <c r="E5" s="25" t="s">
        <v>7</v>
      </c>
      <c r="F5" s="26" t="s">
        <v>188</v>
      </c>
      <c r="G5" s="75"/>
      <c r="H5" s="75"/>
      <c r="I5" s="76"/>
      <c r="J5" s="44" t="s">
        <v>112</v>
      </c>
      <c r="K5" s="26" t="s">
        <v>189</v>
      </c>
      <c r="L5" s="75"/>
      <c r="M5" s="76"/>
      <c r="N5" s="26" t="s">
        <v>190</v>
      </c>
      <c r="O5" s="75"/>
      <c r="P5" s="75"/>
      <c r="Q5" s="76"/>
      <c r="R5" s="25" t="s">
        <v>11</v>
      </c>
      <c r="S5" s="25" t="s">
        <v>12</v>
      </c>
      <c r="T5" s="26" t="s">
        <v>191</v>
      </c>
      <c r="U5" s="75"/>
      <c r="V5" s="75"/>
      <c r="W5" s="75"/>
      <c r="X5" s="75"/>
      <c r="Y5" s="75"/>
      <c r="Z5" s="77"/>
      <c r="AA5" s="25" t="s">
        <v>13</v>
      </c>
      <c r="AB5" s="27" t="s">
        <v>14</v>
      </c>
    </row>
    <row r="6" spans="1:28" ht="16.5">
      <c r="A6" s="50" t="s">
        <v>118</v>
      </c>
      <c r="B6" s="80"/>
      <c r="C6" s="28" t="s">
        <v>15</v>
      </c>
      <c r="D6" s="28" t="s">
        <v>16</v>
      </c>
      <c r="E6" s="28" t="s">
        <v>192</v>
      </c>
      <c r="F6" s="80"/>
      <c r="G6" s="80"/>
      <c r="H6" s="80"/>
      <c r="I6" s="80"/>
      <c r="J6" s="28" t="s">
        <v>193</v>
      </c>
      <c r="K6" s="80"/>
      <c r="L6" s="43" t="s">
        <v>194</v>
      </c>
      <c r="M6" s="43" t="s">
        <v>195</v>
      </c>
      <c r="N6" s="80" t="s">
        <v>17</v>
      </c>
      <c r="O6" s="80"/>
      <c r="P6" s="80"/>
      <c r="Q6" s="80"/>
      <c r="R6" s="28" t="s">
        <v>18</v>
      </c>
      <c r="S6" s="28" t="s">
        <v>196</v>
      </c>
      <c r="T6" s="80" t="s">
        <v>17</v>
      </c>
      <c r="U6" s="80" t="s">
        <v>17</v>
      </c>
      <c r="V6" s="80"/>
      <c r="W6" s="80"/>
      <c r="X6" s="107" t="s">
        <v>183</v>
      </c>
      <c r="Y6" s="80"/>
      <c r="Z6" s="80"/>
      <c r="AA6" s="28" t="s">
        <v>197</v>
      </c>
      <c r="AB6" s="81"/>
    </row>
    <row r="7" spans="1:28" ht="16.5">
      <c r="A7" s="10"/>
      <c r="B7" s="28" t="s">
        <v>19</v>
      </c>
      <c r="C7" s="28" t="s">
        <v>198</v>
      </c>
      <c r="D7" s="80"/>
      <c r="E7" s="80" t="s">
        <v>17</v>
      </c>
      <c r="F7" s="28" t="s">
        <v>20</v>
      </c>
      <c r="G7" s="28" t="s">
        <v>21</v>
      </c>
      <c r="H7" s="28" t="s">
        <v>20</v>
      </c>
      <c r="I7" s="28" t="s">
        <v>20</v>
      </c>
      <c r="J7" s="80"/>
      <c r="K7" s="28" t="s">
        <v>22</v>
      </c>
      <c r="L7" s="28" t="s">
        <v>199</v>
      </c>
      <c r="M7" s="28" t="s">
        <v>23</v>
      </c>
      <c r="N7" s="28" t="s">
        <v>20</v>
      </c>
      <c r="O7" s="28" t="s">
        <v>21</v>
      </c>
      <c r="P7" s="28" t="s">
        <v>20</v>
      </c>
      <c r="Q7" s="28" t="s">
        <v>20</v>
      </c>
      <c r="R7" s="80"/>
      <c r="S7" s="80"/>
      <c r="T7" s="28" t="s">
        <v>24</v>
      </c>
      <c r="U7" s="28" t="s">
        <v>25</v>
      </c>
      <c r="V7" s="28" t="s">
        <v>26</v>
      </c>
      <c r="W7" s="28" t="s">
        <v>27</v>
      </c>
      <c r="X7" s="108"/>
      <c r="Y7" s="28" t="s">
        <v>28</v>
      </c>
      <c r="Z7" s="28" t="s">
        <v>29</v>
      </c>
      <c r="AA7" s="80"/>
      <c r="AB7" s="81"/>
    </row>
    <row r="8" spans="1:28" ht="16.5">
      <c r="A8" s="29" t="s">
        <v>30</v>
      </c>
      <c r="B8" s="80"/>
      <c r="C8" s="28" t="s">
        <v>31</v>
      </c>
      <c r="D8" s="28" t="s">
        <v>32</v>
      </c>
      <c r="E8" s="28" t="s">
        <v>200</v>
      </c>
      <c r="F8" s="28" t="s">
        <v>33</v>
      </c>
      <c r="G8" s="28" t="s">
        <v>34</v>
      </c>
      <c r="H8" s="28" t="s">
        <v>35</v>
      </c>
      <c r="I8" s="28" t="s">
        <v>36</v>
      </c>
      <c r="J8" s="28" t="s">
        <v>201</v>
      </c>
      <c r="K8" s="80"/>
      <c r="L8" s="28" t="s">
        <v>202</v>
      </c>
      <c r="M8" s="80"/>
      <c r="N8" s="28" t="s">
        <v>33</v>
      </c>
      <c r="O8" s="28" t="s">
        <v>34</v>
      </c>
      <c r="P8" s="28" t="s">
        <v>35</v>
      </c>
      <c r="Q8" s="28" t="s">
        <v>36</v>
      </c>
      <c r="R8" s="28" t="s">
        <v>37</v>
      </c>
      <c r="S8" s="28" t="s">
        <v>203</v>
      </c>
      <c r="T8" s="80"/>
      <c r="U8" s="28" t="s">
        <v>24</v>
      </c>
      <c r="V8" s="80"/>
      <c r="W8" s="80"/>
      <c r="X8" s="108"/>
      <c r="Y8" s="28" t="s">
        <v>38</v>
      </c>
      <c r="Z8" s="80"/>
      <c r="AA8" s="28" t="s">
        <v>201</v>
      </c>
      <c r="AB8" s="30" t="s">
        <v>39</v>
      </c>
    </row>
    <row r="9" spans="1:29" ht="16.5">
      <c r="A9" s="31" t="s">
        <v>3</v>
      </c>
      <c r="B9" s="32" t="s">
        <v>40</v>
      </c>
      <c r="C9" s="32" t="s">
        <v>41</v>
      </c>
      <c r="D9" s="32" t="s">
        <v>42</v>
      </c>
      <c r="E9" s="32" t="s">
        <v>43</v>
      </c>
      <c r="F9" s="32" t="s">
        <v>44</v>
      </c>
      <c r="G9" s="32" t="s">
        <v>45</v>
      </c>
      <c r="H9" s="32" t="s">
        <v>46</v>
      </c>
      <c r="I9" s="32" t="s">
        <v>47</v>
      </c>
      <c r="J9" s="32" t="s">
        <v>48</v>
      </c>
      <c r="K9" s="32" t="s">
        <v>49</v>
      </c>
      <c r="L9" s="32" t="s">
        <v>204</v>
      </c>
      <c r="M9" s="32" t="s">
        <v>51</v>
      </c>
      <c r="N9" s="32" t="s">
        <v>44</v>
      </c>
      <c r="O9" s="32" t="s">
        <v>205</v>
      </c>
      <c r="P9" s="32" t="s">
        <v>46</v>
      </c>
      <c r="Q9" s="32" t="s">
        <v>47</v>
      </c>
      <c r="R9" s="32" t="s">
        <v>52</v>
      </c>
      <c r="S9" s="32" t="s">
        <v>53</v>
      </c>
      <c r="T9" s="32" t="s">
        <v>54</v>
      </c>
      <c r="U9" s="32" t="s">
        <v>54</v>
      </c>
      <c r="V9" s="32" t="s">
        <v>55</v>
      </c>
      <c r="W9" s="32" t="s">
        <v>56</v>
      </c>
      <c r="X9" s="109"/>
      <c r="Y9" s="32" t="s">
        <v>57</v>
      </c>
      <c r="Z9" s="32" t="s">
        <v>58</v>
      </c>
      <c r="AA9" s="32" t="s">
        <v>48</v>
      </c>
      <c r="AB9" s="82"/>
      <c r="AC9" t="s">
        <v>104</v>
      </c>
    </row>
    <row r="10" spans="1:31" ht="30" customHeight="1">
      <c r="A10" s="10" t="s">
        <v>59</v>
      </c>
      <c r="B10" s="3">
        <f aca="true" t="shared" si="0" ref="B10:AB10">SUM(B11:B25)</f>
        <v>576780</v>
      </c>
      <c r="C10" s="3">
        <f t="shared" si="0"/>
        <v>116896</v>
      </c>
      <c r="D10" s="3">
        <f t="shared" si="0"/>
        <v>0</v>
      </c>
      <c r="E10" s="3">
        <f t="shared" si="0"/>
        <v>0</v>
      </c>
      <c r="F10" s="3">
        <f t="shared" si="0"/>
        <v>0</v>
      </c>
      <c r="G10" s="3">
        <f t="shared" si="0"/>
        <v>5043</v>
      </c>
      <c r="H10" s="3">
        <f t="shared" si="0"/>
        <v>144560790</v>
      </c>
      <c r="I10" s="3">
        <f t="shared" si="0"/>
        <v>0</v>
      </c>
      <c r="J10" s="3">
        <f t="shared" si="0"/>
        <v>145259509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3">
        <f t="shared" si="0"/>
        <v>31454235</v>
      </c>
      <c r="Q10" s="3">
        <f t="shared" si="0"/>
        <v>0</v>
      </c>
      <c r="R10" s="3">
        <f t="shared" si="0"/>
        <v>0</v>
      </c>
      <c r="S10" s="3">
        <f t="shared" si="0"/>
        <v>0</v>
      </c>
      <c r="T10" s="3">
        <f t="shared" si="0"/>
        <v>0</v>
      </c>
      <c r="U10" s="3">
        <f t="shared" si="0"/>
        <v>3216</v>
      </c>
      <c r="V10" s="3">
        <f t="shared" si="0"/>
        <v>0</v>
      </c>
      <c r="W10" s="3">
        <f t="shared" si="0"/>
        <v>4295</v>
      </c>
      <c r="X10" s="3">
        <f>SUM(X11:X25)</f>
        <v>208</v>
      </c>
      <c r="Y10" s="3">
        <f t="shared" si="0"/>
        <v>8522</v>
      </c>
      <c r="Z10" s="3">
        <f t="shared" si="0"/>
        <v>0</v>
      </c>
      <c r="AA10" s="3">
        <f t="shared" si="0"/>
        <v>31470476</v>
      </c>
      <c r="AB10" s="5">
        <f t="shared" si="0"/>
        <v>176729985</v>
      </c>
      <c r="AC10" t="s">
        <v>103</v>
      </c>
      <c r="AD10" s="48">
        <f>SUM(AD11:AD16)</f>
        <v>176729986</v>
      </c>
      <c r="AE10" s="47"/>
    </row>
    <row r="11" spans="1:32" ht="30" customHeight="1">
      <c r="A11" s="10" t="s">
        <v>60</v>
      </c>
      <c r="B11" s="3">
        <f>52035+41461+310081</f>
        <v>403577</v>
      </c>
      <c r="C11" s="3">
        <f>10938+19589+83392</f>
        <v>113919</v>
      </c>
      <c r="D11" s="3"/>
      <c r="E11" s="3"/>
      <c r="F11" s="3"/>
      <c r="G11" s="3">
        <f>144+696+3816</f>
        <v>4656</v>
      </c>
      <c r="H11" s="3"/>
      <c r="I11" s="3"/>
      <c r="J11" s="3">
        <f aca="true" t="shared" si="1" ref="J11:J25">SUM(B11:I11)</f>
        <v>522152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>
        <f>382+1185</f>
        <v>1567</v>
      </c>
      <c r="V11" s="3"/>
      <c r="W11" s="3">
        <f>4295</f>
        <v>4295</v>
      </c>
      <c r="X11" s="3">
        <f>120+88</f>
        <v>208</v>
      </c>
      <c r="Y11" s="3">
        <f>218+1493+6811</f>
        <v>8522</v>
      </c>
      <c r="Z11" s="3"/>
      <c r="AA11" s="3">
        <f>SUM(K11:Z11)</f>
        <v>14592</v>
      </c>
      <c r="AB11" s="4">
        <f aca="true" t="shared" si="2" ref="AB11:AB25">SUM(J11,AA11)</f>
        <v>536744</v>
      </c>
      <c r="AC11" s="46" t="s">
        <v>120</v>
      </c>
      <c r="AD11" s="48">
        <v>88941</v>
      </c>
      <c r="AE11" s="47"/>
      <c r="AF11" s="59">
        <f>AD11-AE11</f>
        <v>88941</v>
      </c>
    </row>
    <row r="12" spans="1:32" ht="30" customHeight="1">
      <c r="A12" s="12" t="s">
        <v>61</v>
      </c>
      <c r="B12" s="3"/>
      <c r="C12" s="3"/>
      <c r="D12" s="3"/>
      <c r="E12" s="3"/>
      <c r="F12" s="3"/>
      <c r="G12" s="3"/>
      <c r="H12" s="3"/>
      <c r="I12" s="3"/>
      <c r="J12" s="3">
        <f t="shared" si="1"/>
        <v>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aca="true" t="shared" si="3" ref="AA12:AA25">SUM(K12:Z12)</f>
        <v>0</v>
      </c>
      <c r="AB12" s="4">
        <f t="shared" si="2"/>
        <v>0</v>
      </c>
      <c r="AC12" s="46" t="s">
        <v>121</v>
      </c>
      <c r="AD12" s="48">
        <v>554258</v>
      </c>
      <c r="AE12" s="47"/>
      <c r="AF12" s="59">
        <f>AD12-AE12</f>
        <v>554258</v>
      </c>
    </row>
    <row r="13" spans="1:32" ht="30" customHeight="1">
      <c r="A13" s="10" t="s">
        <v>62</v>
      </c>
      <c r="B13" s="3"/>
      <c r="C13" s="3"/>
      <c r="D13" s="3"/>
      <c r="E13" s="3"/>
      <c r="F13" s="3"/>
      <c r="G13" s="3"/>
      <c r="H13" s="3"/>
      <c r="I13" s="3"/>
      <c r="J13" s="3">
        <f t="shared" si="1"/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 t="shared" si="3"/>
        <v>0</v>
      </c>
      <c r="AB13" s="4">
        <f t="shared" si="2"/>
        <v>0</v>
      </c>
      <c r="AC13" s="46" t="s">
        <v>119</v>
      </c>
      <c r="AD13" s="48">
        <v>1963280</v>
      </c>
      <c r="AE13" s="47"/>
      <c r="AF13" s="59">
        <f>AD13-AE13</f>
        <v>1963280</v>
      </c>
    </row>
    <row r="14" spans="1:31" ht="30" customHeight="1">
      <c r="A14" s="10" t="s">
        <v>63</v>
      </c>
      <c r="B14" s="3"/>
      <c r="C14" s="3"/>
      <c r="D14" s="3"/>
      <c r="E14" s="3"/>
      <c r="F14" s="3"/>
      <c r="G14" s="3"/>
      <c r="H14" s="3">
        <v>47189795</v>
      </c>
      <c r="I14" s="3"/>
      <c r="J14" s="3">
        <f t="shared" si="1"/>
        <v>47189795</v>
      </c>
      <c r="K14" s="3"/>
      <c r="L14" s="3"/>
      <c r="M14" s="3"/>
      <c r="N14" s="3"/>
      <c r="O14" s="3"/>
      <c r="P14" s="3">
        <v>6033198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 t="shared" si="3"/>
        <v>6033198</v>
      </c>
      <c r="AB14" s="4">
        <f t="shared" si="2"/>
        <v>53222993</v>
      </c>
      <c r="AC14" s="46" t="s">
        <v>219</v>
      </c>
      <c r="AD14" s="48">
        <v>25500000</v>
      </c>
      <c r="AE14" s="47" t="s">
        <v>104</v>
      </c>
    </row>
    <row r="15" spans="1:31" ht="30" customHeight="1">
      <c r="A15" s="10" t="s">
        <v>64</v>
      </c>
      <c r="B15" s="3"/>
      <c r="C15" s="3"/>
      <c r="D15" s="3"/>
      <c r="E15" s="3"/>
      <c r="F15" s="3"/>
      <c r="G15" s="3"/>
      <c r="H15" s="3">
        <v>1536078</v>
      </c>
      <c r="I15" s="3"/>
      <c r="J15" s="3">
        <f t="shared" si="1"/>
        <v>1536078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>
        <f t="shared" si="3"/>
        <v>0</v>
      </c>
      <c r="AB15" s="4">
        <f t="shared" si="2"/>
        <v>1536078</v>
      </c>
      <c r="AC15" s="46" t="s">
        <v>170</v>
      </c>
      <c r="AD15" s="48">
        <v>122603966</v>
      </c>
      <c r="AE15" s="47" t="s">
        <v>104</v>
      </c>
    </row>
    <row r="16" spans="1:30" ht="30" customHeight="1">
      <c r="A16" s="10" t="s">
        <v>65</v>
      </c>
      <c r="B16" s="3">
        <f>7035+18900+139032</f>
        <v>164967</v>
      </c>
      <c r="C16" s="3"/>
      <c r="D16" s="3"/>
      <c r="E16" s="3"/>
      <c r="F16" s="3"/>
      <c r="G16" s="3">
        <f>93+294</f>
        <v>387</v>
      </c>
      <c r="H16" s="3">
        <f>5564411+13327954</f>
        <v>18892365</v>
      </c>
      <c r="I16" s="3"/>
      <c r="J16" s="3">
        <f t="shared" si="1"/>
        <v>19057719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>
        <f t="shared" si="3"/>
        <v>0</v>
      </c>
      <c r="AB16" s="4">
        <f t="shared" si="2"/>
        <v>19057719</v>
      </c>
      <c r="AC16" s="46" t="s">
        <v>220</v>
      </c>
      <c r="AD16" s="48">
        <v>26019541</v>
      </c>
    </row>
    <row r="17" spans="1:28" ht="30" customHeight="1">
      <c r="A17" s="10" t="s">
        <v>66</v>
      </c>
      <c r="B17" s="3"/>
      <c r="C17" s="3"/>
      <c r="D17" s="3"/>
      <c r="E17" s="3"/>
      <c r="F17" s="3"/>
      <c r="G17" s="3"/>
      <c r="H17" s="3"/>
      <c r="I17" s="3"/>
      <c r="J17" s="3">
        <f t="shared" si="1"/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>
        <f t="shared" si="3"/>
        <v>0</v>
      </c>
      <c r="AB17" s="4">
        <f t="shared" si="2"/>
        <v>0</v>
      </c>
    </row>
    <row r="18" spans="1:28" ht="30" customHeight="1">
      <c r="A18" s="12" t="s">
        <v>67</v>
      </c>
      <c r="B18" s="3">
        <f>36</f>
        <v>36</v>
      </c>
      <c r="C18" s="3">
        <f>2977</f>
        <v>2977</v>
      </c>
      <c r="D18" s="3"/>
      <c r="E18" s="3"/>
      <c r="F18" s="3"/>
      <c r="G18" s="3"/>
      <c r="H18" s="3"/>
      <c r="I18" s="3"/>
      <c r="J18" s="3">
        <f t="shared" si="1"/>
        <v>3013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f>1649</f>
        <v>1649</v>
      </c>
      <c r="V18" s="3"/>
      <c r="W18" s="3"/>
      <c r="X18" s="3"/>
      <c r="Y18" s="3"/>
      <c r="Z18" s="3"/>
      <c r="AA18" s="3">
        <f t="shared" si="3"/>
        <v>1649</v>
      </c>
      <c r="AB18" s="4">
        <f t="shared" si="2"/>
        <v>4662</v>
      </c>
    </row>
    <row r="19" spans="1:28" ht="30" customHeight="1">
      <c r="A19" s="12" t="s">
        <v>68</v>
      </c>
      <c r="B19" s="3"/>
      <c r="C19" s="3"/>
      <c r="D19" s="3"/>
      <c r="E19" s="3"/>
      <c r="F19" s="3"/>
      <c r="G19" s="3"/>
      <c r="H19" s="3"/>
      <c r="I19" s="3"/>
      <c r="J19" s="3">
        <f t="shared" si="1"/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3"/>
        <v>0</v>
      </c>
      <c r="AB19" s="4">
        <f t="shared" si="2"/>
        <v>0</v>
      </c>
    </row>
    <row r="20" spans="1:28" ht="30" customHeight="1">
      <c r="A20" s="10" t="s">
        <v>69</v>
      </c>
      <c r="B20" s="3"/>
      <c r="C20" s="3"/>
      <c r="D20" s="3"/>
      <c r="E20" s="3"/>
      <c r="F20" s="3"/>
      <c r="G20" s="3"/>
      <c r="H20" s="3"/>
      <c r="I20" s="3"/>
      <c r="J20" s="3">
        <f t="shared" si="1"/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3"/>
        <v>0</v>
      </c>
      <c r="AB20" s="4">
        <f t="shared" si="2"/>
        <v>0</v>
      </c>
    </row>
    <row r="21" spans="1:28" ht="30" customHeight="1">
      <c r="A21" s="12" t="s">
        <v>70</v>
      </c>
      <c r="B21" s="3"/>
      <c r="C21" s="3"/>
      <c r="D21" s="3"/>
      <c r="E21" s="3"/>
      <c r="F21" s="3"/>
      <c r="G21" s="3"/>
      <c r="H21" s="3"/>
      <c r="I21" s="3"/>
      <c r="J21" s="3">
        <f t="shared" si="1"/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3"/>
        <v>0</v>
      </c>
      <c r="AB21" s="4">
        <f t="shared" si="2"/>
        <v>0</v>
      </c>
    </row>
    <row r="22" spans="1:28" ht="30" customHeight="1">
      <c r="A22" s="10" t="s">
        <v>71</v>
      </c>
      <c r="B22" s="3"/>
      <c r="C22" s="3"/>
      <c r="D22" s="3"/>
      <c r="E22" s="3"/>
      <c r="F22" s="3"/>
      <c r="G22" s="3"/>
      <c r="H22" s="3"/>
      <c r="I22" s="3"/>
      <c r="J22" s="3">
        <f t="shared" si="1"/>
        <v>0</v>
      </c>
      <c r="K22" s="3"/>
      <c r="L22" s="3"/>
      <c r="M22" s="3"/>
      <c r="N22" s="3"/>
      <c r="O22" s="3"/>
      <c r="P22" s="3">
        <v>9150000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>
        <f t="shared" si="3"/>
        <v>9150000</v>
      </c>
      <c r="AB22" s="4">
        <f t="shared" si="2"/>
        <v>9150000</v>
      </c>
    </row>
    <row r="23" spans="1:28" ht="30" customHeight="1">
      <c r="A23" s="10" t="s">
        <v>72</v>
      </c>
      <c r="B23" s="3"/>
      <c r="C23" s="3"/>
      <c r="D23" s="3"/>
      <c r="E23" s="3"/>
      <c r="F23" s="3"/>
      <c r="G23" s="3"/>
      <c r="H23" s="3"/>
      <c r="I23" s="3"/>
      <c r="J23" s="3">
        <f t="shared" si="1"/>
        <v>0</v>
      </c>
      <c r="K23" s="3"/>
      <c r="L23" s="3"/>
      <c r="M23" s="3"/>
      <c r="N23" s="3"/>
      <c r="O23" s="3"/>
      <c r="P23" s="3">
        <v>15771037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>
        <f t="shared" si="3"/>
        <v>15771037</v>
      </c>
      <c r="AB23" s="4">
        <f t="shared" si="2"/>
        <v>15771037</v>
      </c>
    </row>
    <row r="24" spans="1:28" ht="30" customHeight="1">
      <c r="A24" s="66" t="s">
        <v>185</v>
      </c>
      <c r="B24" s="3"/>
      <c r="C24" s="3"/>
      <c r="D24" s="3"/>
      <c r="E24" s="3"/>
      <c r="F24" s="3"/>
      <c r="G24" s="3"/>
      <c r="H24" s="3"/>
      <c r="I24" s="3"/>
      <c r="J24" s="3">
        <f>SUM(B24:I24)</f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>
        <f>SUM(K24:Z24)</f>
        <v>0</v>
      </c>
      <c r="AB24" s="4">
        <f t="shared" si="2"/>
        <v>0</v>
      </c>
    </row>
    <row r="25" spans="1:28" ht="30" customHeight="1">
      <c r="A25" s="12" t="s">
        <v>99</v>
      </c>
      <c r="B25" s="3">
        <f>1009+742+6449</f>
        <v>8200</v>
      </c>
      <c r="C25" s="3"/>
      <c r="D25" s="3"/>
      <c r="E25" s="3"/>
      <c r="F25" s="3"/>
      <c r="G25" s="3"/>
      <c r="H25" s="3">
        <f>1391519+24031493+26019540+25500000</f>
        <v>76942552</v>
      </c>
      <c r="I25" s="3"/>
      <c r="J25" s="3">
        <f t="shared" si="1"/>
        <v>76950752</v>
      </c>
      <c r="K25" s="3"/>
      <c r="L25" s="3"/>
      <c r="M25" s="3"/>
      <c r="N25" s="3"/>
      <c r="O25" s="3"/>
      <c r="P25" s="3">
        <f>500000</f>
        <v>500000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>
        <f t="shared" si="3"/>
        <v>500000</v>
      </c>
      <c r="AB25" s="4">
        <f t="shared" si="2"/>
        <v>77450752</v>
      </c>
    </row>
    <row r="26" spans="1:27" ht="48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8" ht="30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85"/>
    </row>
  </sheetData>
  <mergeCells count="1">
    <mergeCell ref="X6:X9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 &amp;P 頁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D27"/>
  <sheetViews>
    <sheetView zoomScale="75" zoomScaleNormal="75" workbookViewId="0" topLeftCell="A1">
      <pane xSplit="1" ySplit="10" topLeftCell="B11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ColWidth="9.00390625" defaultRowHeight="15.75"/>
  <cols>
    <col min="1" max="1" width="27.375" style="0" customWidth="1"/>
    <col min="2" max="2" width="10.125" style="83" customWidth="1"/>
    <col min="3" max="3" width="10.00390625" style="83" customWidth="1"/>
    <col min="4" max="4" width="8.75390625" style="83" customWidth="1"/>
    <col min="5" max="6" width="9.00390625" style="83" customWidth="1"/>
    <col min="7" max="7" width="11.00390625" style="83" customWidth="1"/>
    <col min="8" max="8" width="11.50390625" style="83" customWidth="1"/>
    <col min="9" max="9" width="9.00390625" style="83" customWidth="1"/>
    <col min="10" max="10" width="11.50390625" style="83" customWidth="1"/>
    <col min="11" max="12" width="9.875" style="83" customWidth="1"/>
    <col min="13" max="13" width="10.125" style="83" customWidth="1"/>
    <col min="14" max="14" width="11.00390625" style="83" customWidth="1"/>
    <col min="15" max="15" width="11.875" style="83" customWidth="1"/>
    <col min="16" max="16" width="10.625" style="83" customWidth="1"/>
    <col min="17" max="17" width="11.25390625" style="83" customWidth="1"/>
    <col min="18" max="18" width="11.50390625" style="83" customWidth="1"/>
    <col min="19" max="22" width="9.00390625" style="83" customWidth="1"/>
    <col min="23" max="23" width="9.25390625" style="83" bestFit="1" customWidth="1"/>
    <col min="24" max="24" width="9.25390625" style="83" customWidth="1"/>
    <col min="25" max="25" width="9.25390625" style="83" bestFit="1" customWidth="1"/>
    <col min="26" max="26" width="9.00390625" style="83" customWidth="1"/>
    <col min="27" max="27" width="10.375" style="83" customWidth="1"/>
    <col min="28" max="28" width="12.25390625" style="83" customWidth="1"/>
    <col min="30" max="30" width="17.625" style="0" customWidth="1"/>
  </cols>
  <sheetData>
    <row r="1" spans="5:28" ht="21">
      <c r="E1" s="2"/>
      <c r="F1" s="15" t="s">
        <v>95</v>
      </c>
      <c r="G1" s="16" t="s">
        <v>96</v>
      </c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15" t="s">
        <v>95</v>
      </c>
      <c r="T1" s="16" t="s">
        <v>96</v>
      </c>
      <c r="U1" s="68"/>
      <c r="V1" s="68"/>
      <c r="W1" s="68"/>
      <c r="X1" s="68"/>
      <c r="Y1" s="68"/>
      <c r="Z1" s="68"/>
      <c r="AA1" s="68"/>
      <c r="AB1" s="68"/>
    </row>
    <row r="2" spans="1:28" ht="27.75">
      <c r="A2" s="46" t="s">
        <v>117</v>
      </c>
      <c r="B2" s="68"/>
      <c r="C2" s="68"/>
      <c r="D2" s="1"/>
      <c r="E2" s="1"/>
      <c r="F2" s="17" t="s">
        <v>97</v>
      </c>
      <c r="G2" s="18" t="s">
        <v>98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17" t="s">
        <v>97</v>
      </c>
      <c r="T2" s="18" t="s">
        <v>98</v>
      </c>
      <c r="U2" s="68"/>
      <c r="V2" s="68"/>
      <c r="W2" s="68"/>
      <c r="X2" s="68"/>
      <c r="Y2" s="68"/>
      <c r="Z2" s="68"/>
      <c r="AA2" s="68"/>
      <c r="AB2" s="68"/>
    </row>
    <row r="3" spans="2:28" ht="16.5">
      <c r="B3" s="68"/>
      <c r="C3" s="68"/>
      <c r="D3" s="68"/>
      <c r="E3" s="68"/>
      <c r="F3" s="19" t="s">
        <v>217</v>
      </c>
      <c r="G3" s="92" t="s">
        <v>218</v>
      </c>
      <c r="H3" s="68"/>
      <c r="I3" s="68"/>
      <c r="J3" s="68"/>
      <c r="K3" s="68"/>
      <c r="L3" s="68"/>
      <c r="M3" s="20" t="s">
        <v>0</v>
      </c>
      <c r="N3" s="68"/>
      <c r="O3" s="68"/>
      <c r="P3" s="68"/>
      <c r="Q3" s="68"/>
      <c r="R3" s="68"/>
      <c r="S3" s="19" t="s">
        <v>217</v>
      </c>
      <c r="T3" s="92" t="s">
        <v>218</v>
      </c>
      <c r="U3" s="68"/>
      <c r="V3" s="68"/>
      <c r="W3" s="68"/>
      <c r="X3" s="68"/>
      <c r="Y3" s="68"/>
      <c r="Z3" s="68"/>
      <c r="AA3" s="68"/>
      <c r="AB3" s="20" t="s">
        <v>0</v>
      </c>
    </row>
    <row r="4" spans="1:28" ht="30" customHeight="1">
      <c r="A4" s="21" t="s">
        <v>1</v>
      </c>
      <c r="B4" s="22" t="s">
        <v>186</v>
      </c>
      <c r="C4" s="69"/>
      <c r="D4" s="69"/>
      <c r="E4" s="69"/>
      <c r="F4" s="69"/>
      <c r="G4" s="69"/>
      <c r="H4" s="69"/>
      <c r="I4" s="69"/>
      <c r="J4" s="70"/>
      <c r="K4" s="23" t="s">
        <v>187</v>
      </c>
      <c r="L4" s="71"/>
      <c r="M4" s="71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3"/>
      <c r="AB4" s="74"/>
    </row>
    <row r="5" spans="1:28" s="9" customFormat="1" ht="25.5" customHeight="1">
      <c r="A5" s="24" t="s">
        <v>3</v>
      </c>
      <c r="B5" s="25" t="s">
        <v>4</v>
      </c>
      <c r="C5" s="25" t="s">
        <v>5</v>
      </c>
      <c r="D5" s="25" t="s">
        <v>6</v>
      </c>
      <c r="E5" s="25" t="s">
        <v>7</v>
      </c>
      <c r="F5" s="26" t="s">
        <v>188</v>
      </c>
      <c r="G5" s="75"/>
      <c r="H5" s="75"/>
      <c r="I5" s="76"/>
      <c r="J5" s="44" t="s">
        <v>112</v>
      </c>
      <c r="K5" s="26" t="s">
        <v>189</v>
      </c>
      <c r="L5" s="75"/>
      <c r="M5" s="76"/>
      <c r="N5" s="26" t="s">
        <v>190</v>
      </c>
      <c r="O5" s="75"/>
      <c r="P5" s="75"/>
      <c r="Q5" s="76"/>
      <c r="R5" s="25" t="s">
        <v>11</v>
      </c>
      <c r="S5" s="25" t="s">
        <v>12</v>
      </c>
      <c r="T5" s="26" t="s">
        <v>191</v>
      </c>
      <c r="U5" s="75"/>
      <c r="V5" s="75"/>
      <c r="W5" s="75"/>
      <c r="X5" s="75"/>
      <c r="Y5" s="75"/>
      <c r="Z5" s="77"/>
      <c r="AA5" s="25" t="s">
        <v>13</v>
      </c>
      <c r="AB5" s="27" t="s">
        <v>14</v>
      </c>
    </row>
    <row r="6" spans="1:28" ht="16.5">
      <c r="A6" s="10"/>
      <c r="B6" s="80"/>
      <c r="C6" s="28" t="s">
        <v>15</v>
      </c>
      <c r="D6" s="28" t="s">
        <v>16</v>
      </c>
      <c r="E6" s="28" t="s">
        <v>192</v>
      </c>
      <c r="F6" s="80"/>
      <c r="G6" s="80"/>
      <c r="H6" s="80"/>
      <c r="I6" s="80"/>
      <c r="J6" s="28" t="s">
        <v>193</v>
      </c>
      <c r="K6" s="80"/>
      <c r="L6" s="43" t="s">
        <v>194</v>
      </c>
      <c r="M6" s="43" t="s">
        <v>195</v>
      </c>
      <c r="N6" s="80" t="s">
        <v>17</v>
      </c>
      <c r="O6" s="80"/>
      <c r="P6" s="80"/>
      <c r="Q6" s="80"/>
      <c r="R6" s="28" t="s">
        <v>18</v>
      </c>
      <c r="S6" s="28" t="s">
        <v>196</v>
      </c>
      <c r="T6" s="80" t="s">
        <v>17</v>
      </c>
      <c r="U6" s="80" t="s">
        <v>17</v>
      </c>
      <c r="V6" s="80"/>
      <c r="W6" s="80"/>
      <c r="X6" s="107" t="s">
        <v>183</v>
      </c>
      <c r="Y6" s="80"/>
      <c r="Z6" s="80"/>
      <c r="AA6" s="28" t="s">
        <v>197</v>
      </c>
      <c r="AB6" s="81"/>
    </row>
    <row r="7" spans="1:28" ht="16.5">
      <c r="A7" s="10"/>
      <c r="B7" s="28" t="s">
        <v>19</v>
      </c>
      <c r="C7" s="28" t="s">
        <v>198</v>
      </c>
      <c r="D7" s="80"/>
      <c r="E7" s="80" t="s">
        <v>17</v>
      </c>
      <c r="F7" s="28" t="s">
        <v>20</v>
      </c>
      <c r="G7" s="28" t="s">
        <v>21</v>
      </c>
      <c r="H7" s="28" t="s">
        <v>20</v>
      </c>
      <c r="I7" s="28" t="s">
        <v>20</v>
      </c>
      <c r="J7" s="80"/>
      <c r="K7" s="28" t="s">
        <v>22</v>
      </c>
      <c r="L7" s="28" t="s">
        <v>199</v>
      </c>
      <c r="M7" s="28" t="s">
        <v>23</v>
      </c>
      <c r="N7" s="28" t="s">
        <v>20</v>
      </c>
      <c r="O7" s="28" t="s">
        <v>21</v>
      </c>
      <c r="P7" s="28" t="s">
        <v>20</v>
      </c>
      <c r="Q7" s="28" t="s">
        <v>20</v>
      </c>
      <c r="R7" s="80"/>
      <c r="S7" s="80"/>
      <c r="T7" s="28" t="s">
        <v>24</v>
      </c>
      <c r="U7" s="28" t="s">
        <v>25</v>
      </c>
      <c r="V7" s="28" t="s">
        <v>26</v>
      </c>
      <c r="W7" s="28" t="s">
        <v>27</v>
      </c>
      <c r="X7" s="108"/>
      <c r="Y7" s="28" t="s">
        <v>28</v>
      </c>
      <c r="Z7" s="28" t="s">
        <v>29</v>
      </c>
      <c r="AA7" s="80"/>
      <c r="AB7" s="81"/>
    </row>
    <row r="8" spans="1:28" ht="16.5">
      <c r="A8" s="29" t="s">
        <v>30</v>
      </c>
      <c r="B8" s="80"/>
      <c r="C8" s="28" t="s">
        <v>31</v>
      </c>
      <c r="D8" s="28" t="s">
        <v>32</v>
      </c>
      <c r="E8" s="28" t="s">
        <v>200</v>
      </c>
      <c r="F8" s="28" t="s">
        <v>33</v>
      </c>
      <c r="G8" s="28" t="s">
        <v>34</v>
      </c>
      <c r="H8" s="28" t="s">
        <v>35</v>
      </c>
      <c r="I8" s="28" t="s">
        <v>36</v>
      </c>
      <c r="J8" s="28" t="s">
        <v>201</v>
      </c>
      <c r="K8" s="80"/>
      <c r="L8" s="28" t="s">
        <v>202</v>
      </c>
      <c r="M8" s="80"/>
      <c r="N8" s="28" t="s">
        <v>33</v>
      </c>
      <c r="O8" s="28" t="s">
        <v>34</v>
      </c>
      <c r="P8" s="28" t="s">
        <v>35</v>
      </c>
      <c r="Q8" s="28" t="s">
        <v>36</v>
      </c>
      <c r="R8" s="28" t="s">
        <v>37</v>
      </c>
      <c r="S8" s="28" t="s">
        <v>203</v>
      </c>
      <c r="T8" s="80"/>
      <c r="U8" s="28" t="s">
        <v>24</v>
      </c>
      <c r="V8" s="80"/>
      <c r="W8" s="80"/>
      <c r="X8" s="108"/>
      <c r="Y8" s="28" t="s">
        <v>38</v>
      </c>
      <c r="Z8" s="80"/>
      <c r="AA8" s="28" t="s">
        <v>201</v>
      </c>
      <c r="AB8" s="30" t="s">
        <v>39</v>
      </c>
    </row>
    <row r="9" spans="1:28" ht="16.5">
      <c r="A9" s="31" t="s">
        <v>3</v>
      </c>
      <c r="B9" s="32" t="s">
        <v>40</v>
      </c>
      <c r="C9" s="32" t="s">
        <v>41</v>
      </c>
      <c r="D9" s="32" t="s">
        <v>42</v>
      </c>
      <c r="E9" s="32" t="s">
        <v>43</v>
      </c>
      <c r="F9" s="32" t="s">
        <v>44</v>
      </c>
      <c r="G9" s="32" t="s">
        <v>45</v>
      </c>
      <c r="H9" s="32" t="s">
        <v>46</v>
      </c>
      <c r="I9" s="32" t="s">
        <v>47</v>
      </c>
      <c r="J9" s="32" t="s">
        <v>48</v>
      </c>
      <c r="K9" s="32" t="s">
        <v>49</v>
      </c>
      <c r="L9" s="32" t="s">
        <v>204</v>
      </c>
      <c r="M9" s="32" t="s">
        <v>51</v>
      </c>
      <c r="N9" s="32" t="s">
        <v>44</v>
      </c>
      <c r="O9" s="32" t="s">
        <v>205</v>
      </c>
      <c r="P9" s="32" t="s">
        <v>46</v>
      </c>
      <c r="Q9" s="32" t="s">
        <v>47</v>
      </c>
      <c r="R9" s="32" t="s">
        <v>52</v>
      </c>
      <c r="S9" s="32" t="s">
        <v>53</v>
      </c>
      <c r="T9" s="32" t="s">
        <v>54</v>
      </c>
      <c r="U9" s="32" t="s">
        <v>54</v>
      </c>
      <c r="V9" s="32" t="s">
        <v>55</v>
      </c>
      <c r="W9" s="32" t="s">
        <v>56</v>
      </c>
      <c r="X9" s="109"/>
      <c r="Y9" s="32" t="s">
        <v>57</v>
      </c>
      <c r="Z9" s="32" t="s">
        <v>58</v>
      </c>
      <c r="AA9" s="32" t="s">
        <v>48</v>
      </c>
      <c r="AB9" s="82"/>
    </row>
    <row r="10" spans="1:30" ht="30" customHeight="1">
      <c r="A10" s="10" t="s">
        <v>59</v>
      </c>
      <c r="B10" s="3">
        <f aca="true" t="shared" si="0" ref="B10:AB10">SUM(B11:B25)</f>
        <v>0</v>
      </c>
      <c r="C10" s="3">
        <f t="shared" si="0"/>
        <v>0</v>
      </c>
      <c r="D10" s="3">
        <f t="shared" si="0"/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3">
        <f t="shared" si="0"/>
        <v>0</v>
      </c>
      <c r="Q10" s="3">
        <f t="shared" si="0"/>
        <v>0</v>
      </c>
      <c r="R10" s="3">
        <f t="shared" si="0"/>
        <v>0</v>
      </c>
      <c r="S10" s="3">
        <f t="shared" si="0"/>
        <v>0</v>
      </c>
      <c r="T10" s="3">
        <f t="shared" si="0"/>
        <v>0</v>
      </c>
      <c r="U10" s="3">
        <f t="shared" si="0"/>
        <v>0</v>
      </c>
      <c r="V10" s="3">
        <f t="shared" si="0"/>
        <v>0</v>
      </c>
      <c r="W10" s="3">
        <f t="shared" si="0"/>
        <v>0</v>
      </c>
      <c r="X10" s="3">
        <f>SUM(X11:X25)</f>
        <v>0</v>
      </c>
      <c r="Y10" s="3">
        <f t="shared" si="0"/>
        <v>0</v>
      </c>
      <c r="Z10" s="3">
        <f t="shared" si="0"/>
        <v>0</v>
      </c>
      <c r="AA10" s="3">
        <f t="shared" si="0"/>
        <v>0</v>
      </c>
      <c r="AB10" s="5">
        <f t="shared" si="0"/>
        <v>0</v>
      </c>
      <c r="AD10" s="48">
        <f>SUM(AD11:AD13)</f>
        <v>1700000</v>
      </c>
    </row>
    <row r="11" spans="1:30" ht="30" customHeight="1">
      <c r="A11" s="10" t="s">
        <v>60</v>
      </c>
      <c r="B11" s="3"/>
      <c r="C11" s="3"/>
      <c r="D11" s="3"/>
      <c r="E11" s="3"/>
      <c r="F11" s="3"/>
      <c r="G11" s="3"/>
      <c r="H11" s="3"/>
      <c r="I11" s="3"/>
      <c r="J11" s="3">
        <f aca="true" t="shared" si="1" ref="J11:J25">SUM(B11:I11)</f>
        <v>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>
        <f>SUM(K11:Z11)</f>
        <v>0</v>
      </c>
      <c r="AB11" s="4">
        <f aca="true" t="shared" si="2" ref="AB11:AB25">SUM(J11,AA11)</f>
        <v>0</v>
      </c>
      <c r="AC11" s="46" t="s">
        <v>206</v>
      </c>
      <c r="AD11" s="48"/>
    </row>
    <row r="12" spans="1:30" ht="30" customHeight="1">
      <c r="A12" s="12" t="s">
        <v>61</v>
      </c>
      <c r="B12" s="3"/>
      <c r="C12" s="3"/>
      <c r="D12" s="3"/>
      <c r="E12" s="3"/>
      <c r="F12" s="3"/>
      <c r="G12" s="3"/>
      <c r="H12" s="3"/>
      <c r="I12" s="3"/>
      <c r="J12" s="3">
        <f t="shared" si="1"/>
        <v>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aca="true" t="shared" si="3" ref="AA12:AA25">SUM(K12:Z12)</f>
        <v>0</v>
      </c>
      <c r="AB12" s="4">
        <f t="shared" si="2"/>
        <v>0</v>
      </c>
      <c r="AC12" s="46" t="s">
        <v>122</v>
      </c>
      <c r="AD12" s="48">
        <v>1700000</v>
      </c>
    </row>
    <row r="13" spans="1:30" ht="30" customHeight="1">
      <c r="A13" s="10" t="s">
        <v>62</v>
      </c>
      <c r="B13" s="3"/>
      <c r="C13" s="3"/>
      <c r="D13" s="3"/>
      <c r="E13" s="3"/>
      <c r="F13" s="3"/>
      <c r="G13" s="3"/>
      <c r="H13" s="3"/>
      <c r="I13" s="3"/>
      <c r="J13" s="3">
        <f t="shared" si="1"/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 t="shared" si="3"/>
        <v>0</v>
      </c>
      <c r="AB13" s="4">
        <f t="shared" si="2"/>
        <v>0</v>
      </c>
      <c r="AC13" s="46"/>
      <c r="AD13" s="48"/>
    </row>
    <row r="14" spans="1:28" ht="30" customHeight="1">
      <c r="A14" s="10" t="s">
        <v>63</v>
      </c>
      <c r="B14" s="3"/>
      <c r="C14" s="3"/>
      <c r="D14" s="3"/>
      <c r="E14" s="3"/>
      <c r="F14" s="3"/>
      <c r="G14" s="3"/>
      <c r="H14" s="3"/>
      <c r="I14" s="3"/>
      <c r="J14" s="3">
        <f t="shared" si="1"/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 t="shared" si="3"/>
        <v>0</v>
      </c>
      <c r="AB14" s="4">
        <f t="shared" si="2"/>
        <v>0</v>
      </c>
    </row>
    <row r="15" spans="1:28" ht="30" customHeight="1">
      <c r="A15" s="10" t="s">
        <v>64</v>
      </c>
      <c r="B15" s="3"/>
      <c r="C15" s="3"/>
      <c r="D15" s="3"/>
      <c r="E15" s="3"/>
      <c r="F15" s="3"/>
      <c r="G15" s="3"/>
      <c r="H15" s="3"/>
      <c r="I15" s="3"/>
      <c r="J15" s="3">
        <f t="shared" si="1"/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>
        <f t="shared" si="3"/>
        <v>0</v>
      </c>
      <c r="AB15" s="4">
        <f t="shared" si="2"/>
        <v>0</v>
      </c>
    </row>
    <row r="16" spans="1:28" ht="30" customHeight="1">
      <c r="A16" s="10" t="s">
        <v>65</v>
      </c>
      <c r="B16" s="3"/>
      <c r="C16" s="3"/>
      <c r="D16" s="3"/>
      <c r="E16" s="3"/>
      <c r="F16" s="3"/>
      <c r="G16" s="3"/>
      <c r="H16" s="3"/>
      <c r="I16" s="3"/>
      <c r="J16" s="3">
        <f t="shared" si="1"/>
        <v>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>
        <f t="shared" si="3"/>
        <v>0</v>
      </c>
      <c r="AB16" s="4">
        <f t="shared" si="2"/>
        <v>0</v>
      </c>
    </row>
    <row r="17" spans="1:28" ht="30" customHeight="1">
      <c r="A17" s="10" t="s">
        <v>66</v>
      </c>
      <c r="B17" s="3"/>
      <c r="C17" s="3"/>
      <c r="D17" s="3"/>
      <c r="E17" s="3"/>
      <c r="F17" s="3"/>
      <c r="G17" s="3"/>
      <c r="H17" s="3"/>
      <c r="I17" s="3"/>
      <c r="J17" s="3">
        <f t="shared" si="1"/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>
        <f t="shared" si="3"/>
        <v>0</v>
      </c>
      <c r="AB17" s="4">
        <f t="shared" si="2"/>
        <v>0</v>
      </c>
    </row>
    <row r="18" spans="1:28" ht="30" customHeight="1">
      <c r="A18" s="12" t="s">
        <v>67</v>
      </c>
      <c r="B18" s="3"/>
      <c r="C18" s="3"/>
      <c r="D18" s="3"/>
      <c r="E18" s="3"/>
      <c r="F18" s="3"/>
      <c r="G18" s="3"/>
      <c r="H18" s="3"/>
      <c r="I18" s="3"/>
      <c r="J18" s="3">
        <f t="shared" si="1"/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3"/>
        <v>0</v>
      </c>
      <c r="AB18" s="4">
        <f t="shared" si="2"/>
        <v>0</v>
      </c>
    </row>
    <row r="19" spans="1:28" ht="30" customHeight="1">
      <c r="A19" s="12" t="s">
        <v>68</v>
      </c>
      <c r="B19" s="3"/>
      <c r="C19" s="3"/>
      <c r="D19" s="3"/>
      <c r="E19" s="3"/>
      <c r="F19" s="3"/>
      <c r="G19" s="3"/>
      <c r="H19" s="3"/>
      <c r="I19" s="3"/>
      <c r="J19" s="3">
        <f t="shared" si="1"/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3"/>
        <v>0</v>
      </c>
      <c r="AB19" s="4">
        <f t="shared" si="2"/>
        <v>0</v>
      </c>
    </row>
    <row r="20" spans="1:28" ht="30" customHeight="1">
      <c r="A20" s="10" t="s">
        <v>69</v>
      </c>
      <c r="B20" s="3"/>
      <c r="C20" s="3"/>
      <c r="D20" s="3"/>
      <c r="E20" s="3"/>
      <c r="F20" s="3"/>
      <c r="G20" s="3"/>
      <c r="H20" s="3"/>
      <c r="I20" s="3"/>
      <c r="J20" s="3">
        <f t="shared" si="1"/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3"/>
        <v>0</v>
      </c>
      <c r="AB20" s="4">
        <f t="shared" si="2"/>
        <v>0</v>
      </c>
    </row>
    <row r="21" spans="1:28" ht="30" customHeight="1">
      <c r="A21" s="12" t="s">
        <v>70</v>
      </c>
      <c r="B21" s="3"/>
      <c r="C21" s="3"/>
      <c r="D21" s="3"/>
      <c r="E21" s="3"/>
      <c r="F21" s="3"/>
      <c r="G21" s="3"/>
      <c r="H21" s="3"/>
      <c r="I21" s="3"/>
      <c r="J21" s="3">
        <f t="shared" si="1"/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3"/>
        <v>0</v>
      </c>
      <c r="AB21" s="4">
        <f t="shared" si="2"/>
        <v>0</v>
      </c>
    </row>
    <row r="22" spans="1:28" ht="30" customHeight="1">
      <c r="A22" s="10" t="s">
        <v>71</v>
      </c>
      <c r="B22" s="3"/>
      <c r="C22" s="3"/>
      <c r="D22" s="3"/>
      <c r="E22" s="3"/>
      <c r="F22" s="3"/>
      <c r="G22" s="3"/>
      <c r="H22" s="3"/>
      <c r="I22" s="3"/>
      <c r="J22" s="3">
        <f t="shared" si="1"/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>
        <f t="shared" si="3"/>
        <v>0</v>
      </c>
      <c r="AB22" s="4">
        <f t="shared" si="2"/>
        <v>0</v>
      </c>
    </row>
    <row r="23" spans="1:28" ht="30" customHeight="1">
      <c r="A23" s="10" t="s">
        <v>72</v>
      </c>
      <c r="B23" s="3"/>
      <c r="C23" s="3"/>
      <c r="D23" s="3"/>
      <c r="E23" s="3"/>
      <c r="F23" s="3"/>
      <c r="G23" s="3"/>
      <c r="H23" s="3"/>
      <c r="I23" s="3"/>
      <c r="J23" s="3">
        <f t="shared" si="1"/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>
        <f t="shared" si="3"/>
        <v>0</v>
      </c>
      <c r="AB23" s="4">
        <f t="shared" si="2"/>
        <v>0</v>
      </c>
    </row>
    <row r="24" spans="1:28" ht="30" customHeight="1">
      <c r="A24" s="66" t="s">
        <v>185</v>
      </c>
      <c r="B24" s="3"/>
      <c r="C24" s="3"/>
      <c r="D24" s="3"/>
      <c r="E24" s="3"/>
      <c r="F24" s="3"/>
      <c r="G24" s="3"/>
      <c r="H24" s="3"/>
      <c r="I24" s="3"/>
      <c r="J24" s="3">
        <f>SUM(B24:I24)</f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>
        <f>SUM(K24:Z24)</f>
        <v>0</v>
      </c>
      <c r="AB24" s="4">
        <f t="shared" si="2"/>
        <v>0</v>
      </c>
    </row>
    <row r="25" spans="1:28" ht="30" customHeight="1">
      <c r="A25" s="12" t="s">
        <v>99</v>
      </c>
      <c r="B25" s="3"/>
      <c r="C25" s="3"/>
      <c r="D25" s="3"/>
      <c r="E25" s="3"/>
      <c r="F25" s="3"/>
      <c r="G25" s="3"/>
      <c r="H25" s="3"/>
      <c r="I25" s="3"/>
      <c r="J25" s="3">
        <f t="shared" si="1"/>
        <v>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>
        <f t="shared" si="3"/>
        <v>0</v>
      </c>
      <c r="AB25" s="4">
        <f t="shared" si="2"/>
        <v>0</v>
      </c>
    </row>
    <row r="26" spans="1:27" ht="48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8" ht="30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85"/>
    </row>
  </sheetData>
  <mergeCells count="1">
    <mergeCell ref="X6:X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8"/>
  <sheetViews>
    <sheetView zoomScale="75" zoomScaleNormal="75" workbookViewId="0" topLeftCell="A6">
      <pane xSplit="1" ySplit="5" topLeftCell="S11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ColWidth="9.00390625" defaultRowHeight="15.75"/>
  <cols>
    <col min="1" max="1" width="27.375" style="0" customWidth="1"/>
    <col min="2" max="3" width="11.625" style="83" customWidth="1"/>
    <col min="4" max="4" width="8.75390625" style="83" customWidth="1"/>
    <col min="5" max="6" width="9.00390625" style="83" customWidth="1"/>
    <col min="7" max="7" width="11.00390625" style="83" customWidth="1"/>
    <col min="8" max="8" width="11.50390625" style="83" customWidth="1"/>
    <col min="9" max="9" width="9.00390625" style="83" customWidth="1"/>
    <col min="10" max="10" width="11.50390625" style="83" customWidth="1"/>
    <col min="11" max="12" width="9.875" style="83" customWidth="1"/>
    <col min="13" max="13" width="10.125" style="83" customWidth="1"/>
    <col min="14" max="15" width="11.00390625" style="83" customWidth="1"/>
    <col min="16" max="16" width="10.625" style="83" customWidth="1"/>
    <col min="17" max="17" width="11.25390625" style="83" customWidth="1"/>
    <col min="18" max="18" width="11.50390625" style="83" customWidth="1"/>
    <col min="19" max="23" width="9.00390625" style="83" customWidth="1"/>
    <col min="24" max="26" width="10.625" style="83" bestFit="1" customWidth="1"/>
    <col min="27" max="27" width="10.375" style="83" customWidth="1"/>
    <col min="28" max="28" width="12.25390625" style="83" customWidth="1"/>
  </cols>
  <sheetData>
    <row r="1" spans="2:28" ht="21">
      <c r="B1" s="67"/>
      <c r="C1" s="67"/>
      <c r="D1" s="67"/>
      <c r="E1" s="2"/>
      <c r="F1" s="15" t="s">
        <v>95</v>
      </c>
      <c r="G1" s="16" t="s">
        <v>96</v>
      </c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15" t="s">
        <v>95</v>
      </c>
      <c r="T1" s="16" t="s">
        <v>96</v>
      </c>
      <c r="U1" s="68"/>
      <c r="V1" s="68"/>
      <c r="W1" s="68"/>
      <c r="X1" s="68"/>
      <c r="Y1" s="68"/>
      <c r="Z1" s="68"/>
      <c r="AA1" s="68"/>
      <c r="AB1" s="68"/>
    </row>
    <row r="2" spans="2:28" ht="27.75">
      <c r="B2" s="68"/>
      <c r="C2" s="68"/>
      <c r="D2" s="1"/>
      <c r="E2" s="1"/>
      <c r="F2" s="17" t="s">
        <v>97</v>
      </c>
      <c r="G2" s="18" t="s">
        <v>98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17" t="s">
        <v>97</v>
      </c>
      <c r="T2" s="18" t="s">
        <v>98</v>
      </c>
      <c r="U2" s="68"/>
      <c r="V2" s="68"/>
      <c r="W2" s="68"/>
      <c r="X2" s="68"/>
      <c r="Y2" s="68"/>
      <c r="Z2" s="68"/>
      <c r="AA2" s="68"/>
      <c r="AB2" s="68"/>
    </row>
    <row r="3" spans="2:28" ht="16.5">
      <c r="B3" s="68"/>
      <c r="C3" s="68"/>
      <c r="D3" s="68"/>
      <c r="E3" s="68"/>
      <c r="F3" s="19" t="s">
        <v>126</v>
      </c>
      <c r="G3" s="35" t="s">
        <v>127</v>
      </c>
      <c r="H3" s="68"/>
      <c r="I3" s="68"/>
      <c r="J3" s="68"/>
      <c r="K3" s="68"/>
      <c r="L3" s="68"/>
      <c r="M3" s="20" t="s">
        <v>0</v>
      </c>
      <c r="N3" s="68"/>
      <c r="O3" s="68"/>
      <c r="P3" s="68"/>
      <c r="Q3" s="68"/>
      <c r="R3" s="68"/>
      <c r="S3" s="19" t="s">
        <v>126</v>
      </c>
      <c r="T3" s="35" t="s">
        <v>127</v>
      </c>
      <c r="U3" s="68"/>
      <c r="V3" s="68"/>
      <c r="W3" s="68"/>
      <c r="X3" s="68"/>
      <c r="Y3" s="68"/>
      <c r="Z3" s="68"/>
      <c r="AA3" s="68"/>
      <c r="AB3" s="20" t="s">
        <v>0</v>
      </c>
    </row>
    <row r="4" spans="1:28" ht="30" customHeight="1">
      <c r="A4" s="21" t="s">
        <v>1</v>
      </c>
      <c r="B4" s="22" t="s">
        <v>186</v>
      </c>
      <c r="C4" s="69"/>
      <c r="D4" s="69"/>
      <c r="E4" s="69"/>
      <c r="F4" s="69"/>
      <c r="G4" s="69"/>
      <c r="H4" s="69"/>
      <c r="I4" s="69"/>
      <c r="J4" s="70"/>
      <c r="K4" s="23" t="s">
        <v>187</v>
      </c>
      <c r="L4" s="71"/>
      <c r="M4" s="71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3"/>
      <c r="AB4" s="74"/>
    </row>
    <row r="5" spans="1:28" s="9" customFormat="1" ht="25.5" customHeight="1">
      <c r="A5" s="24" t="s">
        <v>3</v>
      </c>
      <c r="B5" s="25" t="s">
        <v>4</v>
      </c>
      <c r="C5" s="25" t="s">
        <v>5</v>
      </c>
      <c r="D5" s="25" t="s">
        <v>6</v>
      </c>
      <c r="E5" s="25" t="s">
        <v>7</v>
      </c>
      <c r="F5" s="26" t="s">
        <v>188</v>
      </c>
      <c r="G5" s="75"/>
      <c r="H5" s="75"/>
      <c r="I5" s="76"/>
      <c r="J5" s="44" t="s">
        <v>112</v>
      </c>
      <c r="K5" s="26" t="s">
        <v>189</v>
      </c>
      <c r="L5" s="75"/>
      <c r="M5" s="76"/>
      <c r="N5" s="26" t="s">
        <v>190</v>
      </c>
      <c r="O5" s="26"/>
      <c r="P5" s="75"/>
      <c r="Q5" s="76"/>
      <c r="R5" s="25" t="s">
        <v>11</v>
      </c>
      <c r="S5" s="25" t="s">
        <v>12</v>
      </c>
      <c r="T5" s="26" t="s">
        <v>191</v>
      </c>
      <c r="U5" s="75"/>
      <c r="V5" s="75"/>
      <c r="W5" s="75"/>
      <c r="X5" s="75"/>
      <c r="Y5" s="75"/>
      <c r="Z5" s="77"/>
      <c r="AA5" s="25" t="s">
        <v>13</v>
      </c>
      <c r="AB5" s="27" t="s">
        <v>14</v>
      </c>
    </row>
    <row r="6" spans="1:28" ht="16.5">
      <c r="A6" s="10"/>
      <c r="B6" s="80"/>
      <c r="C6" s="28" t="s">
        <v>15</v>
      </c>
      <c r="D6" s="28" t="s">
        <v>16</v>
      </c>
      <c r="E6" s="28" t="s">
        <v>192</v>
      </c>
      <c r="F6" s="80"/>
      <c r="G6" s="80"/>
      <c r="H6" s="80"/>
      <c r="I6" s="80"/>
      <c r="J6" s="28" t="s">
        <v>193</v>
      </c>
      <c r="K6" s="80"/>
      <c r="L6" s="43" t="s">
        <v>194</v>
      </c>
      <c r="M6" s="43" t="s">
        <v>195</v>
      </c>
      <c r="N6" s="80" t="s">
        <v>17</v>
      </c>
      <c r="O6" s="80"/>
      <c r="P6" s="80"/>
      <c r="Q6" s="80"/>
      <c r="R6" s="28" t="s">
        <v>18</v>
      </c>
      <c r="S6" s="28" t="s">
        <v>196</v>
      </c>
      <c r="T6" s="80" t="s">
        <v>17</v>
      </c>
      <c r="U6" s="80" t="s">
        <v>17</v>
      </c>
      <c r="V6" s="80"/>
      <c r="W6" s="80"/>
      <c r="X6" s="107" t="s">
        <v>183</v>
      </c>
      <c r="Y6" s="80"/>
      <c r="Z6" s="80"/>
      <c r="AA6" s="28" t="s">
        <v>197</v>
      </c>
      <c r="AB6" s="81"/>
    </row>
    <row r="7" spans="1:28" ht="16.5">
      <c r="A7" s="10"/>
      <c r="B7" s="28" t="s">
        <v>19</v>
      </c>
      <c r="C7" s="28" t="s">
        <v>198</v>
      </c>
      <c r="D7" s="80"/>
      <c r="E7" s="80" t="s">
        <v>17</v>
      </c>
      <c r="F7" s="28" t="s">
        <v>20</v>
      </c>
      <c r="G7" s="28" t="s">
        <v>21</v>
      </c>
      <c r="H7" s="28" t="s">
        <v>20</v>
      </c>
      <c r="I7" s="28" t="s">
        <v>20</v>
      </c>
      <c r="J7" s="80"/>
      <c r="K7" s="28" t="s">
        <v>22</v>
      </c>
      <c r="L7" s="28" t="s">
        <v>199</v>
      </c>
      <c r="M7" s="28" t="s">
        <v>23</v>
      </c>
      <c r="N7" s="28" t="s">
        <v>20</v>
      </c>
      <c r="O7" s="28" t="s">
        <v>21</v>
      </c>
      <c r="P7" s="28" t="s">
        <v>20</v>
      </c>
      <c r="Q7" s="28" t="s">
        <v>20</v>
      </c>
      <c r="R7" s="80"/>
      <c r="S7" s="80"/>
      <c r="T7" s="28" t="s">
        <v>24</v>
      </c>
      <c r="U7" s="28" t="s">
        <v>25</v>
      </c>
      <c r="V7" s="28" t="s">
        <v>26</v>
      </c>
      <c r="W7" s="28" t="s">
        <v>27</v>
      </c>
      <c r="X7" s="108"/>
      <c r="Y7" s="28" t="s">
        <v>28</v>
      </c>
      <c r="Z7" s="28" t="s">
        <v>29</v>
      </c>
      <c r="AA7" s="80"/>
      <c r="AB7" s="81"/>
    </row>
    <row r="8" spans="1:28" ht="16.5">
      <c r="A8" s="29" t="s">
        <v>30</v>
      </c>
      <c r="B8" s="80"/>
      <c r="C8" s="28" t="s">
        <v>31</v>
      </c>
      <c r="D8" s="28" t="s">
        <v>32</v>
      </c>
      <c r="E8" s="28" t="s">
        <v>200</v>
      </c>
      <c r="F8" s="28" t="s">
        <v>33</v>
      </c>
      <c r="G8" s="28" t="s">
        <v>34</v>
      </c>
      <c r="H8" s="28" t="s">
        <v>35</v>
      </c>
      <c r="I8" s="28" t="s">
        <v>36</v>
      </c>
      <c r="J8" s="28" t="s">
        <v>201</v>
      </c>
      <c r="K8" s="80"/>
      <c r="L8" s="28" t="s">
        <v>202</v>
      </c>
      <c r="M8" s="80"/>
      <c r="N8" s="28" t="s">
        <v>33</v>
      </c>
      <c r="O8" s="28" t="s">
        <v>34</v>
      </c>
      <c r="P8" s="28" t="s">
        <v>35</v>
      </c>
      <c r="Q8" s="28" t="s">
        <v>36</v>
      </c>
      <c r="R8" s="28" t="s">
        <v>37</v>
      </c>
      <c r="S8" s="28" t="s">
        <v>203</v>
      </c>
      <c r="T8" s="80"/>
      <c r="U8" s="28" t="s">
        <v>24</v>
      </c>
      <c r="V8" s="80"/>
      <c r="W8" s="80"/>
      <c r="X8" s="108"/>
      <c r="Y8" s="28" t="s">
        <v>38</v>
      </c>
      <c r="Z8" s="80"/>
      <c r="AA8" s="28" t="s">
        <v>201</v>
      </c>
      <c r="AB8" s="30" t="s">
        <v>39</v>
      </c>
    </row>
    <row r="9" spans="1:28" ht="16.5">
      <c r="A9" s="31" t="s">
        <v>3</v>
      </c>
      <c r="B9" s="32" t="s">
        <v>40</v>
      </c>
      <c r="C9" s="32" t="s">
        <v>41</v>
      </c>
      <c r="D9" s="32" t="s">
        <v>42</v>
      </c>
      <c r="E9" s="32" t="s">
        <v>43</v>
      </c>
      <c r="F9" s="32" t="s">
        <v>44</v>
      </c>
      <c r="G9" s="32" t="s">
        <v>45</v>
      </c>
      <c r="H9" s="32" t="s">
        <v>46</v>
      </c>
      <c r="I9" s="32" t="s">
        <v>47</v>
      </c>
      <c r="J9" s="32" t="s">
        <v>48</v>
      </c>
      <c r="K9" s="32" t="s">
        <v>49</v>
      </c>
      <c r="L9" s="32" t="s">
        <v>204</v>
      </c>
      <c r="M9" s="32" t="s">
        <v>51</v>
      </c>
      <c r="N9" s="32" t="s">
        <v>44</v>
      </c>
      <c r="O9" s="32" t="s">
        <v>205</v>
      </c>
      <c r="P9" s="32" t="s">
        <v>46</v>
      </c>
      <c r="Q9" s="32" t="s">
        <v>47</v>
      </c>
      <c r="R9" s="32" t="s">
        <v>52</v>
      </c>
      <c r="S9" s="32" t="s">
        <v>53</v>
      </c>
      <c r="T9" s="32" t="s">
        <v>54</v>
      </c>
      <c r="U9" s="32" t="s">
        <v>54</v>
      </c>
      <c r="V9" s="32" t="s">
        <v>55</v>
      </c>
      <c r="W9" s="32" t="s">
        <v>56</v>
      </c>
      <c r="X9" s="109"/>
      <c r="Y9" s="32" t="s">
        <v>57</v>
      </c>
      <c r="Z9" s="32" t="s">
        <v>58</v>
      </c>
      <c r="AA9" s="32" t="s">
        <v>48</v>
      </c>
      <c r="AB9" s="82"/>
    </row>
    <row r="10" spans="1:28" ht="30" customHeight="1">
      <c r="A10" s="10" t="s">
        <v>59</v>
      </c>
      <c r="B10" s="3">
        <f>SUM(B11:B25)</f>
        <v>9607054</v>
      </c>
      <c r="C10" s="3">
        <f aca="true" t="shared" si="0" ref="C10:AB10">SUM(C11:C25)</f>
        <v>7837384</v>
      </c>
      <c r="D10" s="3">
        <f t="shared" si="0"/>
        <v>0</v>
      </c>
      <c r="E10" s="3">
        <f t="shared" si="0"/>
        <v>5368</v>
      </c>
      <c r="F10" s="3">
        <f t="shared" si="0"/>
        <v>87476</v>
      </c>
      <c r="G10" s="3">
        <f t="shared" si="0"/>
        <v>4126588</v>
      </c>
      <c r="H10" s="3">
        <f t="shared" si="0"/>
        <v>4967218</v>
      </c>
      <c r="I10" s="3">
        <f t="shared" si="0"/>
        <v>13669</v>
      </c>
      <c r="J10" s="3">
        <f t="shared" si="0"/>
        <v>26644757</v>
      </c>
      <c r="K10" s="3">
        <f t="shared" si="0"/>
        <v>0</v>
      </c>
      <c r="L10" s="3">
        <f t="shared" si="0"/>
        <v>3700000</v>
      </c>
      <c r="M10" s="3">
        <f t="shared" si="0"/>
        <v>0</v>
      </c>
      <c r="N10" s="3">
        <f t="shared" si="0"/>
        <v>38160</v>
      </c>
      <c r="O10" s="3">
        <f aca="true" t="shared" si="1" ref="O10:Z10">SUM(O11:O25)</f>
        <v>326882</v>
      </c>
      <c r="P10" s="3">
        <f t="shared" si="1"/>
        <v>4331319</v>
      </c>
      <c r="Q10" s="3">
        <f t="shared" si="1"/>
        <v>0</v>
      </c>
      <c r="R10" s="3">
        <f t="shared" si="1"/>
        <v>1177730</v>
      </c>
      <c r="S10" s="3">
        <f t="shared" si="1"/>
        <v>12046</v>
      </c>
      <c r="T10" s="3">
        <f t="shared" si="1"/>
        <v>0</v>
      </c>
      <c r="U10" s="3">
        <f t="shared" si="1"/>
        <v>755069</v>
      </c>
      <c r="V10" s="3">
        <f t="shared" si="1"/>
        <v>2175022</v>
      </c>
      <c r="W10" s="3">
        <f t="shared" si="1"/>
        <v>7163</v>
      </c>
      <c r="X10" s="3">
        <f>SUM(X11:X25)</f>
        <v>894054</v>
      </c>
      <c r="Y10" s="3">
        <f t="shared" si="1"/>
        <v>969963</v>
      </c>
      <c r="Z10" s="3">
        <f t="shared" si="1"/>
        <v>4566</v>
      </c>
      <c r="AA10" s="3">
        <f t="shared" si="0"/>
        <v>14391974</v>
      </c>
      <c r="AB10" s="5">
        <f t="shared" si="0"/>
        <v>41036731</v>
      </c>
    </row>
    <row r="11" spans="1:28" ht="30" customHeight="1">
      <c r="A11" s="10" t="s">
        <v>60</v>
      </c>
      <c r="B11" s="3">
        <f>'[3]主管'!B11</f>
        <v>3907984</v>
      </c>
      <c r="C11" s="3">
        <f>'[3]主管'!C11</f>
        <v>2590294</v>
      </c>
      <c r="D11" s="3">
        <f>'[3]主管'!D11</f>
        <v>0</v>
      </c>
      <c r="E11" s="3">
        <f>'[3]主管'!E11</f>
        <v>0</v>
      </c>
      <c r="F11" s="3">
        <f>'[3]主管'!F11</f>
        <v>9018</v>
      </c>
      <c r="G11" s="3">
        <f>'[3]主管'!G11</f>
        <v>776731</v>
      </c>
      <c r="H11" s="3">
        <f>'[3]主管'!H11</f>
        <v>801273</v>
      </c>
      <c r="I11" s="3">
        <f>'[3]主管'!I11</f>
        <v>4034</v>
      </c>
      <c r="J11" s="3">
        <f aca="true" t="shared" si="2" ref="J11:J25">SUM(B11:I11)</f>
        <v>8089334</v>
      </c>
      <c r="K11" s="3">
        <f>'[3]主管'!K11</f>
        <v>0</v>
      </c>
      <c r="L11" s="3">
        <f>'[3]主管'!L11</f>
        <v>500000</v>
      </c>
      <c r="M11" s="3">
        <f>'[3]主管'!M11</f>
        <v>0</v>
      </c>
      <c r="N11" s="3">
        <f>'[3]主管'!N11</f>
        <v>0</v>
      </c>
      <c r="O11" s="3">
        <f>'[3]主管'!O11</f>
        <v>73217</v>
      </c>
      <c r="P11" s="3">
        <f>'[3]主管'!P11</f>
        <v>1381646</v>
      </c>
      <c r="Q11" s="3">
        <f>'[3]主管'!Q11</f>
        <v>0</v>
      </c>
      <c r="R11" s="3">
        <f>'[3]主管'!R11</f>
        <v>0</v>
      </c>
      <c r="S11" s="3">
        <f>'[3]主管'!S11</f>
        <v>5</v>
      </c>
      <c r="T11" s="3">
        <f>'[3]主管'!T11</f>
        <v>0</v>
      </c>
      <c r="U11" s="3">
        <f>'[3]主管'!U11</f>
        <v>21763</v>
      </c>
      <c r="V11" s="3">
        <f>'[3]主管'!V11</f>
        <v>59457</v>
      </c>
      <c r="W11" s="3">
        <f>'[3]主管'!W11</f>
        <v>2906</v>
      </c>
      <c r="X11" s="3">
        <f>'[3]主管'!X11</f>
        <v>784394</v>
      </c>
      <c r="Y11" s="3">
        <f>'[3]主管'!Y11</f>
        <v>408562</v>
      </c>
      <c r="Z11" s="3">
        <f>'[3]主管'!Z11</f>
        <v>0</v>
      </c>
      <c r="AA11" s="3">
        <f>SUM(K11:Z11)</f>
        <v>3231950</v>
      </c>
      <c r="AB11" s="4">
        <f aca="true" t="shared" si="3" ref="AB11:AB25">SUM(J11,AA11)</f>
        <v>11321284</v>
      </c>
    </row>
    <row r="12" spans="1:28" ht="30" customHeight="1">
      <c r="A12" s="12" t="s">
        <v>61</v>
      </c>
      <c r="B12" s="3">
        <f>'[3]主管'!B12</f>
        <v>0</v>
      </c>
      <c r="C12" s="3">
        <f>'[3]主管'!C12</f>
        <v>0</v>
      </c>
      <c r="D12" s="3">
        <f>'[3]主管'!D12</f>
        <v>0</v>
      </c>
      <c r="E12" s="3">
        <f>'[3]主管'!E12</f>
        <v>0</v>
      </c>
      <c r="F12" s="3">
        <f>'[3]主管'!F12</f>
        <v>0</v>
      </c>
      <c r="G12" s="3">
        <f>'[3]主管'!G12</f>
        <v>0</v>
      </c>
      <c r="H12" s="3">
        <f>'[3]主管'!H12</f>
        <v>0</v>
      </c>
      <c r="I12" s="3">
        <f>'[3]主管'!I12</f>
        <v>0</v>
      </c>
      <c r="J12" s="3">
        <f t="shared" si="2"/>
        <v>0</v>
      </c>
      <c r="K12" s="3">
        <f>'[3]主管'!K12</f>
        <v>0</v>
      </c>
      <c r="L12" s="3">
        <f>'[3]主管'!L12</f>
        <v>0</v>
      </c>
      <c r="M12" s="3">
        <f>'[3]主管'!M12</f>
        <v>0</v>
      </c>
      <c r="N12" s="3">
        <f>'[3]主管'!N12</f>
        <v>0</v>
      </c>
      <c r="O12" s="3">
        <f>'[3]主管'!O12</f>
        <v>0</v>
      </c>
      <c r="P12" s="3">
        <f>'[3]主管'!P12</f>
        <v>0</v>
      </c>
      <c r="Q12" s="3">
        <f>'[3]主管'!Q12</f>
        <v>0</v>
      </c>
      <c r="R12" s="3">
        <f>'[3]主管'!R12</f>
        <v>0</v>
      </c>
      <c r="S12" s="3">
        <f>'[3]主管'!S12</f>
        <v>0</v>
      </c>
      <c r="T12" s="3">
        <f>'[3]主管'!T12</f>
        <v>0</v>
      </c>
      <c r="U12" s="3">
        <f>'[3]主管'!U12</f>
        <v>0</v>
      </c>
      <c r="V12" s="3">
        <f>'[3]主管'!V12</f>
        <v>0</v>
      </c>
      <c r="W12" s="3">
        <f>'[3]主管'!W12</f>
        <v>0</v>
      </c>
      <c r="X12" s="3">
        <f>'[3]主管'!X12</f>
        <v>0</v>
      </c>
      <c r="Y12" s="3">
        <f>'[3]主管'!Y12</f>
        <v>0</v>
      </c>
      <c r="Z12" s="3">
        <f>'[3]主管'!Z12</f>
        <v>0</v>
      </c>
      <c r="AA12" s="3">
        <f aca="true" t="shared" si="4" ref="AA12:AA25">SUM(K12:Z12)</f>
        <v>0</v>
      </c>
      <c r="AB12" s="4">
        <f t="shared" si="3"/>
        <v>0</v>
      </c>
    </row>
    <row r="13" spans="1:28" ht="30" customHeight="1">
      <c r="A13" s="10" t="s">
        <v>62</v>
      </c>
      <c r="B13" s="3">
        <f>'[3]主管'!B13</f>
        <v>0</v>
      </c>
      <c r="C13" s="3">
        <f>'[3]主管'!C13</f>
        <v>0</v>
      </c>
      <c r="D13" s="3">
        <f>'[3]主管'!D13</f>
        <v>0</v>
      </c>
      <c r="E13" s="3">
        <f>'[3]主管'!E13</f>
        <v>0</v>
      </c>
      <c r="F13" s="3">
        <f>'[3]主管'!F13</f>
        <v>0</v>
      </c>
      <c r="G13" s="3">
        <f>'[3]主管'!G13</f>
        <v>0</v>
      </c>
      <c r="H13" s="3">
        <f>'[3]主管'!H13</f>
        <v>0</v>
      </c>
      <c r="I13" s="3">
        <f>'[3]主管'!I13</f>
        <v>0</v>
      </c>
      <c r="J13" s="3">
        <f t="shared" si="2"/>
        <v>0</v>
      </c>
      <c r="K13" s="3">
        <f>'[3]主管'!K13</f>
        <v>0</v>
      </c>
      <c r="L13" s="3">
        <f>'[3]主管'!L13</f>
        <v>0</v>
      </c>
      <c r="M13" s="3">
        <f>'[3]主管'!M13</f>
        <v>0</v>
      </c>
      <c r="N13" s="3">
        <f>'[3]主管'!N13</f>
        <v>0</v>
      </c>
      <c r="O13" s="3">
        <f>'[3]主管'!O13</f>
        <v>0</v>
      </c>
      <c r="P13" s="3">
        <f>'[3]主管'!P13</f>
        <v>0</v>
      </c>
      <c r="Q13" s="3">
        <f>'[3]主管'!Q13</f>
        <v>0</v>
      </c>
      <c r="R13" s="3">
        <f>'[3]主管'!R13</f>
        <v>0</v>
      </c>
      <c r="S13" s="3">
        <f>'[3]主管'!S13</f>
        <v>0</v>
      </c>
      <c r="T13" s="3">
        <f>'[3]主管'!T13</f>
        <v>0</v>
      </c>
      <c r="U13" s="3">
        <f>'[3]主管'!U13</f>
        <v>0</v>
      </c>
      <c r="V13" s="3">
        <f>'[3]主管'!V13</f>
        <v>0</v>
      </c>
      <c r="W13" s="3">
        <f>'[3]主管'!W13</f>
        <v>0</v>
      </c>
      <c r="X13" s="3">
        <f>'[3]主管'!X13</f>
        <v>0</v>
      </c>
      <c r="Y13" s="3">
        <f>'[3]主管'!Y13</f>
        <v>0</v>
      </c>
      <c r="Z13" s="3">
        <f>'[3]主管'!Z13</f>
        <v>0</v>
      </c>
      <c r="AA13" s="3">
        <f t="shared" si="4"/>
        <v>0</v>
      </c>
      <c r="AB13" s="4">
        <f t="shared" si="3"/>
        <v>0</v>
      </c>
    </row>
    <row r="14" spans="1:28" ht="30" customHeight="1">
      <c r="A14" s="10" t="s">
        <v>63</v>
      </c>
      <c r="B14" s="3">
        <f>'[3]主管'!B14</f>
        <v>145856</v>
      </c>
      <c r="C14" s="3">
        <f>'[3]主管'!C14</f>
        <v>817969</v>
      </c>
      <c r="D14" s="3">
        <f>'[3]主管'!D14</f>
        <v>0</v>
      </c>
      <c r="E14" s="3">
        <f>'[3]主管'!E14</f>
        <v>0</v>
      </c>
      <c r="F14" s="3">
        <f>'[3]主管'!F14</f>
        <v>31510</v>
      </c>
      <c r="G14" s="3">
        <f>'[3]主管'!G14</f>
        <v>214818</v>
      </c>
      <c r="H14" s="3">
        <f>'[3]主管'!H14</f>
        <v>284554</v>
      </c>
      <c r="I14" s="3">
        <f>'[3]主管'!I14</f>
        <v>0</v>
      </c>
      <c r="J14" s="3">
        <f t="shared" si="2"/>
        <v>1494707</v>
      </c>
      <c r="K14" s="3">
        <f>'[3]主管'!K14</f>
        <v>0</v>
      </c>
      <c r="L14" s="3">
        <f>'[3]主管'!L14</f>
        <v>0</v>
      </c>
      <c r="M14" s="3">
        <f>'[3]主管'!M14</f>
        <v>0</v>
      </c>
      <c r="N14" s="3">
        <f>'[3]主管'!N14</f>
        <v>1200</v>
      </c>
      <c r="O14" s="3">
        <f>'[3]主管'!O14</f>
        <v>57353</v>
      </c>
      <c r="P14" s="3">
        <f>'[3]主管'!P14</f>
        <v>18859</v>
      </c>
      <c r="Q14" s="3">
        <f>'[3]主管'!Q14</f>
        <v>0</v>
      </c>
      <c r="R14" s="3">
        <f>'[3]主管'!R14</f>
        <v>0</v>
      </c>
      <c r="S14" s="3">
        <f>'[3]主管'!S14</f>
        <v>9860</v>
      </c>
      <c r="T14" s="3">
        <f>'[3]主管'!T14</f>
        <v>0</v>
      </c>
      <c r="U14" s="3">
        <f>'[3]主管'!U14</f>
        <v>0</v>
      </c>
      <c r="V14" s="3">
        <f>'[3]主管'!V14</f>
        <v>0</v>
      </c>
      <c r="W14" s="3">
        <f>'[3]主管'!W14</f>
        <v>636</v>
      </c>
      <c r="X14" s="3">
        <f>'[3]主管'!X14</f>
        <v>6749</v>
      </c>
      <c r="Y14" s="3">
        <f>'[3]主管'!Y14</f>
        <v>29664</v>
      </c>
      <c r="Z14" s="3">
        <f>'[3]主管'!Z14</f>
        <v>0</v>
      </c>
      <c r="AA14" s="3">
        <f t="shared" si="4"/>
        <v>124321</v>
      </c>
      <c r="AB14" s="4">
        <f t="shared" si="3"/>
        <v>1619028</v>
      </c>
    </row>
    <row r="15" spans="1:28" ht="30" customHeight="1">
      <c r="A15" s="10" t="s">
        <v>64</v>
      </c>
      <c r="B15" s="3">
        <f>'[3]主管'!B15</f>
        <v>0</v>
      </c>
      <c r="C15" s="3">
        <f>'[3]主管'!C15</f>
        <v>0</v>
      </c>
      <c r="D15" s="3">
        <f>'[3]主管'!D15</f>
        <v>0</v>
      </c>
      <c r="E15" s="3">
        <f>'[3]主管'!E15</f>
        <v>0</v>
      </c>
      <c r="F15" s="3">
        <f>'[3]主管'!F15</f>
        <v>0</v>
      </c>
      <c r="G15" s="3">
        <f>'[3]主管'!G15</f>
        <v>0</v>
      </c>
      <c r="H15" s="3">
        <f>'[3]主管'!H15</f>
        <v>0</v>
      </c>
      <c r="I15" s="3">
        <f>'[3]主管'!I15</f>
        <v>0</v>
      </c>
      <c r="J15" s="3">
        <f t="shared" si="2"/>
        <v>0</v>
      </c>
      <c r="K15" s="3">
        <f>'[3]主管'!K15</f>
        <v>0</v>
      </c>
      <c r="L15" s="3">
        <f>'[3]主管'!L15</f>
        <v>0</v>
      </c>
      <c r="M15" s="3">
        <f>'[3]主管'!M15</f>
        <v>0</v>
      </c>
      <c r="N15" s="3">
        <f>'[3]主管'!N15</f>
        <v>0</v>
      </c>
      <c r="O15" s="3">
        <f>'[3]主管'!O15</f>
        <v>0</v>
      </c>
      <c r="P15" s="3">
        <f>'[3]主管'!P15</f>
        <v>0</v>
      </c>
      <c r="Q15" s="3">
        <f>'[3]主管'!Q15</f>
        <v>0</v>
      </c>
      <c r="R15" s="3">
        <f>'[3]主管'!R15</f>
        <v>0</v>
      </c>
      <c r="S15" s="3">
        <f>'[3]主管'!S15</f>
        <v>0</v>
      </c>
      <c r="T15" s="3">
        <f>'[3]主管'!T15</f>
        <v>0</v>
      </c>
      <c r="U15" s="3">
        <f>'[3]主管'!U15</f>
        <v>0</v>
      </c>
      <c r="V15" s="3">
        <f>'[3]主管'!V15</f>
        <v>0</v>
      </c>
      <c r="W15" s="3">
        <f>'[3]主管'!W15</f>
        <v>0</v>
      </c>
      <c r="X15" s="3">
        <f>'[3]主管'!X15</f>
        <v>0</v>
      </c>
      <c r="Y15" s="3">
        <f>'[3]主管'!Y15</f>
        <v>0</v>
      </c>
      <c r="Z15" s="3">
        <f>'[3]主管'!Z15</f>
        <v>0</v>
      </c>
      <c r="AA15" s="3">
        <f t="shared" si="4"/>
        <v>0</v>
      </c>
      <c r="AB15" s="4">
        <f t="shared" si="3"/>
        <v>0</v>
      </c>
    </row>
    <row r="16" spans="1:28" ht="30" customHeight="1">
      <c r="A16" s="10" t="s">
        <v>65</v>
      </c>
      <c r="B16" s="3">
        <f>'[3]主管'!B16</f>
        <v>765307</v>
      </c>
      <c r="C16" s="3">
        <f>'[3]主管'!C16</f>
        <v>17039</v>
      </c>
      <c r="D16" s="3">
        <f>'[3]主管'!D16</f>
        <v>0</v>
      </c>
      <c r="E16" s="3">
        <f>'[3]主管'!E16</f>
        <v>0</v>
      </c>
      <c r="F16" s="3">
        <f>'[3]主管'!F16</f>
        <v>322</v>
      </c>
      <c r="G16" s="3">
        <f>'[3]主管'!G16</f>
        <v>1605087</v>
      </c>
      <c r="H16" s="3">
        <f>'[3]主管'!H16</f>
        <v>106744</v>
      </c>
      <c r="I16" s="3">
        <f>'[3]主管'!I16</f>
        <v>0</v>
      </c>
      <c r="J16" s="3">
        <f t="shared" si="2"/>
        <v>2494499</v>
      </c>
      <c r="K16" s="3">
        <f>'[3]主管'!K16</f>
        <v>0</v>
      </c>
      <c r="L16" s="3">
        <f>'[3]主管'!L16</f>
        <v>0</v>
      </c>
      <c r="M16" s="3">
        <f>'[3]主管'!M16</f>
        <v>0</v>
      </c>
      <c r="N16" s="3">
        <f>'[3]主管'!N16</f>
        <v>0</v>
      </c>
      <c r="O16" s="3">
        <f>'[3]主管'!O16</f>
        <v>295</v>
      </c>
      <c r="P16" s="3">
        <f>'[3]主管'!P16</f>
        <v>5018</v>
      </c>
      <c r="Q16" s="3">
        <f>'[3]主管'!Q16</f>
        <v>0</v>
      </c>
      <c r="R16" s="3">
        <f>'[3]主管'!R16</f>
        <v>0</v>
      </c>
      <c r="S16" s="3">
        <f>'[3]主管'!S16</f>
        <v>0</v>
      </c>
      <c r="T16" s="3">
        <f>'[3]主管'!T16</f>
        <v>0</v>
      </c>
      <c r="U16" s="3">
        <f>'[3]主管'!U16</f>
        <v>0</v>
      </c>
      <c r="V16" s="3">
        <f>'[3]主管'!V16</f>
        <v>0</v>
      </c>
      <c r="W16" s="3">
        <f>'[3]主管'!W16</f>
        <v>0</v>
      </c>
      <c r="X16" s="3">
        <f>'[3]主管'!X16</f>
        <v>0</v>
      </c>
      <c r="Y16" s="3">
        <f>'[3]主管'!Y16</f>
        <v>0</v>
      </c>
      <c r="Z16" s="3">
        <f>'[3]主管'!Z16</f>
        <v>0</v>
      </c>
      <c r="AA16" s="3">
        <f t="shared" si="4"/>
        <v>5313</v>
      </c>
      <c r="AB16" s="4">
        <f t="shared" si="3"/>
        <v>2499812</v>
      </c>
    </row>
    <row r="17" spans="1:28" ht="30" customHeight="1">
      <c r="A17" s="10" t="s">
        <v>66</v>
      </c>
      <c r="B17" s="3">
        <f>'[3]主管'!B17</f>
        <v>0</v>
      </c>
      <c r="C17" s="3">
        <f>'[3]主管'!C17</f>
        <v>0</v>
      </c>
      <c r="D17" s="3">
        <f>'[3]主管'!D17</f>
        <v>0</v>
      </c>
      <c r="E17" s="3">
        <f>'[3]主管'!E17</f>
        <v>0</v>
      </c>
      <c r="F17" s="3">
        <f>'[3]主管'!F17</f>
        <v>0</v>
      </c>
      <c r="G17" s="3">
        <f>'[3]主管'!G17</f>
        <v>0</v>
      </c>
      <c r="H17" s="3">
        <f>'[3]主管'!H17</f>
        <v>0</v>
      </c>
      <c r="I17" s="3">
        <f>'[3]主管'!I17</f>
        <v>0</v>
      </c>
      <c r="J17" s="3">
        <f t="shared" si="2"/>
        <v>0</v>
      </c>
      <c r="K17" s="3">
        <f>'[3]主管'!K17</f>
        <v>0</v>
      </c>
      <c r="L17" s="3">
        <f>'[3]主管'!L17</f>
        <v>0</v>
      </c>
      <c r="M17" s="3">
        <f>'[3]主管'!M17</f>
        <v>0</v>
      </c>
      <c r="N17" s="3">
        <f>'[3]主管'!N17</f>
        <v>0</v>
      </c>
      <c r="O17" s="3">
        <f>'[3]主管'!O17</f>
        <v>0</v>
      </c>
      <c r="P17" s="3">
        <f>'[3]主管'!P17</f>
        <v>0</v>
      </c>
      <c r="Q17" s="3">
        <f>'[3]主管'!Q17</f>
        <v>0</v>
      </c>
      <c r="R17" s="3">
        <f>'[3]主管'!R17</f>
        <v>0</v>
      </c>
      <c r="S17" s="3">
        <f>'[3]主管'!S17</f>
        <v>0</v>
      </c>
      <c r="T17" s="3">
        <f>'[3]主管'!T17</f>
        <v>0</v>
      </c>
      <c r="U17" s="3">
        <f>'[3]主管'!U17</f>
        <v>0</v>
      </c>
      <c r="V17" s="3">
        <f>'[3]主管'!V17</f>
        <v>0</v>
      </c>
      <c r="W17" s="3">
        <f>'[3]主管'!W17</f>
        <v>0</v>
      </c>
      <c r="X17" s="3">
        <f>'[3]主管'!X17</f>
        <v>0</v>
      </c>
      <c r="Y17" s="3">
        <f>'[3]主管'!Y17</f>
        <v>0</v>
      </c>
      <c r="Z17" s="3">
        <f>'[3]主管'!Z17</f>
        <v>0</v>
      </c>
      <c r="AA17" s="3">
        <f t="shared" si="4"/>
        <v>0</v>
      </c>
      <c r="AB17" s="4">
        <f t="shared" si="3"/>
        <v>0</v>
      </c>
    </row>
    <row r="18" spans="1:28" ht="30" customHeight="1">
      <c r="A18" s="12" t="s">
        <v>67</v>
      </c>
      <c r="B18" s="3">
        <f>'[3]主管'!B18</f>
        <v>2486773</v>
      </c>
      <c r="C18" s="3">
        <f>'[3]主管'!C18</f>
        <v>3940448</v>
      </c>
      <c r="D18" s="3">
        <f>'[3]主管'!D18</f>
        <v>0</v>
      </c>
      <c r="E18" s="3">
        <f>'[3]主管'!E18</f>
        <v>5368</v>
      </c>
      <c r="F18" s="3">
        <f>'[3]主管'!F18</f>
        <v>46626</v>
      </c>
      <c r="G18" s="3">
        <f>'[3]主管'!G18</f>
        <v>1523631</v>
      </c>
      <c r="H18" s="3">
        <f>'[3]主管'!H18</f>
        <v>3767901</v>
      </c>
      <c r="I18" s="3">
        <f>'[3]主管'!I18</f>
        <v>6754</v>
      </c>
      <c r="J18" s="3">
        <f t="shared" si="2"/>
        <v>11777501</v>
      </c>
      <c r="K18" s="3">
        <f>'[3]主管'!K18</f>
        <v>0</v>
      </c>
      <c r="L18" s="3">
        <f>'[3]主管'!L18</f>
        <v>0</v>
      </c>
      <c r="M18" s="3">
        <f>'[3]主管'!M18</f>
        <v>0</v>
      </c>
      <c r="N18" s="3">
        <f>'[3]主管'!N18</f>
        <v>36960</v>
      </c>
      <c r="O18" s="3">
        <f>'[3]主管'!O18</f>
        <v>196017</v>
      </c>
      <c r="P18" s="3">
        <f>'[3]主管'!P18</f>
        <v>2925796</v>
      </c>
      <c r="Q18" s="3">
        <f>'[3]主管'!Q18</f>
        <v>0</v>
      </c>
      <c r="R18" s="3">
        <f>'[3]主管'!R18</f>
        <v>1177730</v>
      </c>
      <c r="S18" s="3">
        <f>'[3]主管'!S18</f>
        <v>2181</v>
      </c>
      <c r="T18" s="3">
        <f>'[3]主管'!T18</f>
        <v>0</v>
      </c>
      <c r="U18" s="3">
        <f>'[3]主管'!U18</f>
        <v>733306</v>
      </c>
      <c r="V18" s="3">
        <f>'[3]主管'!V18</f>
        <v>2115565</v>
      </c>
      <c r="W18" s="3">
        <f>'[3]主管'!W18</f>
        <v>2409</v>
      </c>
      <c r="X18" s="3">
        <f>'[3]主管'!X18</f>
        <v>99854</v>
      </c>
      <c r="Y18" s="3">
        <f>'[3]主管'!Y18</f>
        <v>514714</v>
      </c>
      <c r="Z18" s="3">
        <f>'[3]主管'!Z18</f>
        <v>4566</v>
      </c>
      <c r="AA18" s="3">
        <f t="shared" si="4"/>
        <v>7809098</v>
      </c>
      <c r="AB18" s="4">
        <f t="shared" si="3"/>
        <v>19586599</v>
      </c>
    </row>
    <row r="19" spans="1:28" ht="30" customHeight="1">
      <c r="A19" s="12" t="s">
        <v>68</v>
      </c>
      <c r="B19" s="3">
        <f>'[3]主管'!B19</f>
        <v>0</v>
      </c>
      <c r="C19" s="3">
        <f>'[3]主管'!C19</f>
        <v>0</v>
      </c>
      <c r="D19" s="3">
        <f>'[3]主管'!D19</f>
        <v>0</v>
      </c>
      <c r="E19" s="3">
        <f>'[3]主管'!E19</f>
        <v>0</v>
      </c>
      <c r="F19" s="3">
        <f>'[3]主管'!F19</f>
        <v>0</v>
      </c>
      <c r="G19" s="3">
        <f>'[3]主管'!G19</f>
        <v>0</v>
      </c>
      <c r="H19" s="3">
        <f>'[3]主管'!H19</f>
        <v>0</v>
      </c>
      <c r="I19" s="3">
        <f>'[3]主管'!I19</f>
        <v>0</v>
      </c>
      <c r="J19" s="3">
        <f t="shared" si="2"/>
        <v>0</v>
      </c>
      <c r="K19" s="3">
        <f>'[3]主管'!K19</f>
        <v>0</v>
      </c>
      <c r="L19" s="3">
        <f>'[3]主管'!L19</f>
        <v>0</v>
      </c>
      <c r="M19" s="3">
        <f>'[3]主管'!M19</f>
        <v>0</v>
      </c>
      <c r="N19" s="3">
        <f>'[3]主管'!N19</f>
        <v>0</v>
      </c>
      <c r="O19" s="3">
        <f>'[3]主管'!O19</f>
        <v>0</v>
      </c>
      <c r="P19" s="3">
        <f>'[3]主管'!P19</f>
        <v>0</v>
      </c>
      <c r="Q19" s="3">
        <f>'[3]主管'!Q19</f>
        <v>0</v>
      </c>
      <c r="R19" s="3">
        <f>'[3]主管'!R19</f>
        <v>0</v>
      </c>
      <c r="S19" s="3">
        <f>'[3]主管'!S19</f>
        <v>0</v>
      </c>
      <c r="T19" s="3">
        <f>'[3]主管'!T19</f>
        <v>0</v>
      </c>
      <c r="U19" s="3">
        <f>'[3]主管'!U19</f>
        <v>0</v>
      </c>
      <c r="V19" s="3">
        <f>'[3]主管'!V19</f>
        <v>0</v>
      </c>
      <c r="W19" s="3">
        <f>'[3]主管'!W19</f>
        <v>0</v>
      </c>
      <c r="X19" s="3">
        <f>'[3]主管'!X19</f>
        <v>0</v>
      </c>
      <c r="Y19" s="3">
        <f>'[3]主管'!Y19</f>
        <v>0</v>
      </c>
      <c r="Z19" s="3">
        <f>'[3]主管'!Z19</f>
        <v>0</v>
      </c>
      <c r="AA19" s="3">
        <f t="shared" si="4"/>
        <v>0</v>
      </c>
      <c r="AB19" s="4">
        <f t="shared" si="3"/>
        <v>0</v>
      </c>
    </row>
    <row r="20" spans="1:28" ht="30" customHeight="1">
      <c r="A20" s="10" t="s">
        <v>69</v>
      </c>
      <c r="B20" s="3">
        <f>'[3]主管'!B20</f>
        <v>0</v>
      </c>
      <c r="C20" s="3">
        <f>'[3]主管'!C20</f>
        <v>0</v>
      </c>
      <c r="D20" s="3">
        <f>'[3]主管'!D20</f>
        <v>0</v>
      </c>
      <c r="E20" s="3">
        <f>'[3]主管'!E20</f>
        <v>0</v>
      </c>
      <c r="F20" s="3">
        <f>'[3]主管'!F20</f>
        <v>0</v>
      </c>
      <c r="G20" s="3">
        <f>'[3]主管'!G20</f>
        <v>0</v>
      </c>
      <c r="H20" s="3">
        <f>'[3]主管'!H20</f>
        <v>0</v>
      </c>
      <c r="I20" s="3">
        <f>'[3]主管'!I20</f>
        <v>0</v>
      </c>
      <c r="J20" s="3">
        <f t="shared" si="2"/>
        <v>0</v>
      </c>
      <c r="K20" s="3">
        <f>'[3]主管'!K20</f>
        <v>0</v>
      </c>
      <c r="L20" s="3">
        <f>'[3]主管'!L20</f>
        <v>0</v>
      </c>
      <c r="M20" s="3">
        <f>'[3]主管'!M20</f>
        <v>0</v>
      </c>
      <c r="N20" s="3">
        <f>'[3]主管'!N20</f>
        <v>0</v>
      </c>
      <c r="O20" s="3">
        <f>'[3]主管'!O20</f>
        <v>0</v>
      </c>
      <c r="P20" s="3">
        <f>'[3]主管'!P20</f>
        <v>0</v>
      </c>
      <c r="Q20" s="3">
        <f>'[3]主管'!Q20</f>
        <v>0</v>
      </c>
      <c r="R20" s="3">
        <f>'[3]主管'!R20</f>
        <v>0</v>
      </c>
      <c r="S20" s="3">
        <f>'[3]主管'!S20</f>
        <v>0</v>
      </c>
      <c r="T20" s="3">
        <f>'[3]主管'!T20</f>
        <v>0</v>
      </c>
      <c r="U20" s="3">
        <f>'[3]主管'!U20</f>
        <v>0</v>
      </c>
      <c r="V20" s="3">
        <f>'[3]主管'!V20</f>
        <v>0</v>
      </c>
      <c r="W20" s="3">
        <f>'[3]主管'!W20</f>
        <v>0</v>
      </c>
      <c r="X20" s="3">
        <f>'[3]主管'!X20</f>
        <v>0</v>
      </c>
      <c r="Y20" s="3">
        <f>'[3]主管'!Y20</f>
        <v>0</v>
      </c>
      <c r="Z20" s="3">
        <f>'[3]主管'!Z20</f>
        <v>0</v>
      </c>
      <c r="AA20" s="3">
        <f t="shared" si="4"/>
        <v>0</v>
      </c>
      <c r="AB20" s="4">
        <f t="shared" si="3"/>
        <v>0</v>
      </c>
    </row>
    <row r="21" spans="1:28" ht="30" customHeight="1">
      <c r="A21" s="12" t="s">
        <v>70</v>
      </c>
      <c r="B21" s="3">
        <f>'[3]主管'!B21</f>
        <v>0</v>
      </c>
      <c r="C21" s="3">
        <f>'[3]主管'!C21</f>
        <v>0</v>
      </c>
      <c r="D21" s="3">
        <f>'[3]主管'!D21</f>
        <v>0</v>
      </c>
      <c r="E21" s="3">
        <f>'[3]主管'!E21</f>
        <v>0</v>
      </c>
      <c r="F21" s="3">
        <f>'[3]主管'!F21</f>
        <v>0</v>
      </c>
      <c r="G21" s="3">
        <f>'[3]主管'!G21</f>
        <v>0</v>
      </c>
      <c r="H21" s="3">
        <f>'[3]主管'!H21</f>
        <v>0</v>
      </c>
      <c r="I21" s="3">
        <f>'[3]主管'!I21</f>
        <v>0</v>
      </c>
      <c r="J21" s="3">
        <f t="shared" si="2"/>
        <v>0</v>
      </c>
      <c r="K21" s="3">
        <f>'[3]主管'!K21</f>
        <v>0</v>
      </c>
      <c r="L21" s="3">
        <f>'[3]主管'!L21</f>
        <v>0</v>
      </c>
      <c r="M21" s="3">
        <f>'[3]主管'!M21</f>
        <v>0</v>
      </c>
      <c r="N21" s="3">
        <f>'[3]主管'!N21</f>
        <v>0</v>
      </c>
      <c r="O21" s="3">
        <f>'[3]主管'!O21</f>
        <v>0</v>
      </c>
      <c r="P21" s="3">
        <f>'[3]主管'!P21</f>
        <v>0</v>
      </c>
      <c r="Q21" s="3">
        <f>'[3]主管'!Q21</f>
        <v>0</v>
      </c>
      <c r="R21" s="3">
        <f>'[3]主管'!R21</f>
        <v>0</v>
      </c>
      <c r="S21" s="3">
        <f>'[3]主管'!S21</f>
        <v>0</v>
      </c>
      <c r="T21" s="3">
        <f>'[3]主管'!T21</f>
        <v>0</v>
      </c>
      <c r="U21" s="3">
        <f>'[3]主管'!U21</f>
        <v>0</v>
      </c>
      <c r="V21" s="3">
        <f>'[3]主管'!V21</f>
        <v>0</v>
      </c>
      <c r="W21" s="3">
        <f>'[3]主管'!W21</f>
        <v>0</v>
      </c>
      <c r="X21" s="3">
        <f>'[3]主管'!X21</f>
        <v>0</v>
      </c>
      <c r="Y21" s="3">
        <f>'[3]主管'!Y21</f>
        <v>0</v>
      </c>
      <c r="Z21" s="3">
        <f>'[3]主管'!Z21</f>
        <v>0</v>
      </c>
      <c r="AA21" s="3">
        <f t="shared" si="4"/>
        <v>0</v>
      </c>
      <c r="AB21" s="4">
        <f t="shared" si="3"/>
        <v>0</v>
      </c>
    </row>
    <row r="22" spans="1:28" ht="30" customHeight="1">
      <c r="A22" s="10" t="s">
        <v>71</v>
      </c>
      <c r="B22" s="3">
        <f>'[3]主管'!B22</f>
        <v>585235</v>
      </c>
      <c r="C22" s="3">
        <f>'[3]主管'!C22</f>
        <v>0</v>
      </c>
      <c r="D22" s="3">
        <f>'[3]主管'!D22</f>
        <v>0</v>
      </c>
      <c r="E22" s="3">
        <f>'[3]主管'!E22</f>
        <v>0</v>
      </c>
      <c r="F22" s="3">
        <f>'[3]主管'!F22</f>
        <v>0</v>
      </c>
      <c r="G22" s="3">
        <f>'[3]主管'!G22</f>
        <v>0</v>
      </c>
      <c r="H22" s="3">
        <f>'[3]主管'!H22</f>
        <v>0</v>
      </c>
      <c r="I22" s="3">
        <f>'[3]主管'!I22</f>
        <v>0</v>
      </c>
      <c r="J22" s="3">
        <f t="shared" si="2"/>
        <v>585235</v>
      </c>
      <c r="K22" s="3">
        <f>'[3]主管'!K22</f>
        <v>0</v>
      </c>
      <c r="L22" s="3">
        <f>'[3]主管'!L22</f>
        <v>0</v>
      </c>
      <c r="M22" s="3">
        <f>'[3]主管'!M22</f>
        <v>0</v>
      </c>
      <c r="N22" s="3">
        <f>'[3]主管'!N22</f>
        <v>0</v>
      </c>
      <c r="O22" s="3">
        <f>'[3]主管'!O22</f>
        <v>0</v>
      </c>
      <c r="P22" s="3">
        <f>'[3]主管'!P22</f>
        <v>0</v>
      </c>
      <c r="Q22" s="3">
        <f>'[3]主管'!Q22</f>
        <v>0</v>
      </c>
      <c r="R22" s="3">
        <f>'[3]主管'!R22</f>
        <v>0</v>
      </c>
      <c r="S22" s="3">
        <f>'[3]主管'!S22</f>
        <v>0</v>
      </c>
      <c r="T22" s="3">
        <f>'[3]主管'!T22</f>
        <v>0</v>
      </c>
      <c r="U22" s="3">
        <f>'[3]主管'!U22</f>
        <v>0</v>
      </c>
      <c r="V22" s="3">
        <f>'[3]主管'!V22</f>
        <v>0</v>
      </c>
      <c r="W22" s="3">
        <f>'[3]主管'!W22</f>
        <v>0</v>
      </c>
      <c r="X22" s="3">
        <f>'[3]主管'!X22</f>
        <v>0</v>
      </c>
      <c r="Y22" s="3">
        <f>'[3]主管'!Y22</f>
        <v>0</v>
      </c>
      <c r="Z22" s="3">
        <f>'[3]主管'!Z22</f>
        <v>0</v>
      </c>
      <c r="AA22" s="3">
        <f t="shared" si="4"/>
        <v>0</v>
      </c>
      <c r="AB22" s="4">
        <f t="shared" si="3"/>
        <v>585235</v>
      </c>
    </row>
    <row r="23" spans="1:28" ht="30" customHeight="1">
      <c r="A23" s="10" t="s">
        <v>72</v>
      </c>
      <c r="B23" s="3">
        <f>'[3]主管'!B23</f>
        <v>1611956</v>
      </c>
      <c r="C23" s="3">
        <f>'[3]主管'!C23</f>
        <v>471634</v>
      </c>
      <c r="D23" s="3">
        <f>'[3]主管'!D23</f>
        <v>0</v>
      </c>
      <c r="E23" s="3">
        <f>'[3]主管'!E23</f>
        <v>0</v>
      </c>
      <c r="F23" s="3">
        <f>'[3]主管'!F23</f>
        <v>0</v>
      </c>
      <c r="G23" s="3">
        <f>'[3]主管'!G23</f>
        <v>6321</v>
      </c>
      <c r="H23" s="3">
        <f>'[3]主管'!H23</f>
        <v>6746</v>
      </c>
      <c r="I23" s="3">
        <f>'[3]主管'!I23</f>
        <v>2881</v>
      </c>
      <c r="J23" s="3">
        <f t="shared" si="2"/>
        <v>2099538</v>
      </c>
      <c r="K23" s="3">
        <f>'[3]主管'!K23</f>
        <v>0</v>
      </c>
      <c r="L23" s="3">
        <f>'[3]主管'!L23</f>
        <v>3200000</v>
      </c>
      <c r="M23" s="3">
        <f>'[3]主管'!M23</f>
        <v>0</v>
      </c>
      <c r="N23" s="3">
        <f>'[3]主管'!N23</f>
        <v>0</v>
      </c>
      <c r="O23" s="3">
        <f>'[3]主管'!O23</f>
        <v>0</v>
      </c>
      <c r="P23" s="3">
        <f>'[3]主管'!P23</f>
        <v>0</v>
      </c>
      <c r="Q23" s="3">
        <f>'[3]主管'!Q23</f>
        <v>0</v>
      </c>
      <c r="R23" s="3">
        <f>'[3]主管'!R23</f>
        <v>0</v>
      </c>
      <c r="S23" s="3">
        <f>'[3]主管'!S23</f>
        <v>0</v>
      </c>
      <c r="T23" s="3">
        <f>'[3]主管'!T23</f>
        <v>0</v>
      </c>
      <c r="U23" s="3">
        <f>'[3]主管'!U23</f>
        <v>0</v>
      </c>
      <c r="V23" s="3">
        <f>'[3]主管'!V23</f>
        <v>0</v>
      </c>
      <c r="W23" s="3">
        <f>'[3]主管'!W23</f>
        <v>1212</v>
      </c>
      <c r="X23" s="3">
        <f>'[3]主管'!X23</f>
        <v>3057</v>
      </c>
      <c r="Y23" s="3">
        <f>'[3]主管'!Y23</f>
        <v>17023</v>
      </c>
      <c r="Z23" s="3">
        <f>'[3]主管'!Z23</f>
        <v>0</v>
      </c>
      <c r="AA23" s="3">
        <f t="shared" si="4"/>
        <v>3221292</v>
      </c>
      <c r="AB23" s="4">
        <f t="shared" si="3"/>
        <v>5320830</v>
      </c>
    </row>
    <row r="24" spans="1:28" ht="30" customHeight="1">
      <c r="A24" s="66" t="s">
        <v>185</v>
      </c>
      <c r="B24" s="3">
        <f>'[3]主管'!B24</f>
        <v>0</v>
      </c>
      <c r="C24" s="3">
        <f>'[3]主管'!C24</f>
        <v>0</v>
      </c>
      <c r="D24" s="3">
        <f>'[3]主管'!D24</f>
        <v>0</v>
      </c>
      <c r="E24" s="3">
        <f>'[3]主管'!E24</f>
        <v>0</v>
      </c>
      <c r="F24" s="3">
        <f>'[3]主管'!F24</f>
        <v>0</v>
      </c>
      <c r="G24" s="3">
        <f>'[3]主管'!G24</f>
        <v>0</v>
      </c>
      <c r="H24" s="3">
        <f>'[3]主管'!H24</f>
        <v>0</v>
      </c>
      <c r="I24" s="3">
        <f>'[3]主管'!I24</f>
        <v>0</v>
      </c>
      <c r="J24" s="3">
        <f>SUM(B24:I24)</f>
        <v>0</v>
      </c>
      <c r="K24" s="3">
        <f>'[3]主管'!K24</f>
        <v>0</v>
      </c>
      <c r="L24" s="3">
        <f>'[3]主管'!L24</f>
        <v>0</v>
      </c>
      <c r="M24" s="3">
        <f>'[3]主管'!M24</f>
        <v>0</v>
      </c>
      <c r="N24" s="3">
        <f>'[3]主管'!N24</f>
        <v>0</v>
      </c>
      <c r="O24" s="3">
        <f>'[3]主管'!O24</f>
        <v>0</v>
      </c>
      <c r="P24" s="3">
        <f>'[3]主管'!P24</f>
        <v>0</v>
      </c>
      <c r="Q24" s="3">
        <f>'[3]主管'!Q24</f>
        <v>0</v>
      </c>
      <c r="R24" s="3">
        <f>'[3]主管'!R24</f>
        <v>0</v>
      </c>
      <c r="S24" s="3">
        <f>'[3]主管'!S24</f>
        <v>0</v>
      </c>
      <c r="T24" s="3">
        <f>'[3]主管'!T24</f>
        <v>0</v>
      </c>
      <c r="U24" s="3">
        <f>'[3]主管'!U24</f>
        <v>0</v>
      </c>
      <c r="V24" s="3">
        <f>'[3]主管'!V24</f>
        <v>0</v>
      </c>
      <c r="W24" s="3">
        <f>'[3]主管'!W24</f>
        <v>0</v>
      </c>
      <c r="X24" s="3">
        <f>'[3]主管'!X24</f>
        <v>0</v>
      </c>
      <c r="Y24" s="3">
        <f>'[3]主管'!Y24</f>
        <v>0</v>
      </c>
      <c r="Z24" s="3">
        <f>'[3]主管'!Z24</f>
        <v>0</v>
      </c>
      <c r="AA24" s="3">
        <f>SUM(K24:Z24)</f>
        <v>0</v>
      </c>
      <c r="AB24" s="4">
        <f t="shared" si="3"/>
        <v>0</v>
      </c>
    </row>
    <row r="25" spans="1:28" ht="30" customHeight="1">
      <c r="A25" s="12" t="s">
        <v>99</v>
      </c>
      <c r="B25" s="3">
        <f>'[3]主管'!B25</f>
        <v>103943</v>
      </c>
      <c r="C25" s="3">
        <f>'[3]主管'!C25</f>
        <v>0</v>
      </c>
      <c r="D25" s="3">
        <f>'[3]主管'!D25</f>
        <v>0</v>
      </c>
      <c r="E25" s="3">
        <f>'[3]主管'!E25</f>
        <v>0</v>
      </c>
      <c r="F25" s="3">
        <f>'[3]主管'!F25</f>
        <v>0</v>
      </c>
      <c r="G25" s="3">
        <f>'[3]主管'!G25</f>
        <v>0</v>
      </c>
      <c r="H25" s="3">
        <f>'[3]主管'!H25</f>
        <v>0</v>
      </c>
      <c r="I25" s="3">
        <f>'[3]主管'!I25</f>
        <v>0</v>
      </c>
      <c r="J25" s="3">
        <f t="shared" si="2"/>
        <v>103943</v>
      </c>
      <c r="K25" s="3">
        <f>'[3]主管'!K25</f>
        <v>0</v>
      </c>
      <c r="L25" s="3">
        <f>'[3]主管'!L25</f>
        <v>0</v>
      </c>
      <c r="M25" s="3">
        <f>'[3]主管'!M25</f>
        <v>0</v>
      </c>
      <c r="N25" s="3">
        <f>'[3]主管'!N25</f>
        <v>0</v>
      </c>
      <c r="O25" s="3">
        <f>'[3]主管'!O25</f>
        <v>0</v>
      </c>
      <c r="P25" s="3">
        <f>'[3]主管'!P25</f>
        <v>0</v>
      </c>
      <c r="Q25" s="3">
        <f>'[3]主管'!Q25</f>
        <v>0</v>
      </c>
      <c r="R25" s="3">
        <f>'[3]主管'!R25</f>
        <v>0</v>
      </c>
      <c r="S25" s="3">
        <f>'[3]主管'!S25</f>
        <v>0</v>
      </c>
      <c r="T25" s="3">
        <f>'[3]主管'!T25</f>
        <v>0</v>
      </c>
      <c r="U25" s="3">
        <f>'[3]主管'!U25</f>
        <v>0</v>
      </c>
      <c r="V25" s="3">
        <f>'[3]主管'!V25</f>
        <v>0</v>
      </c>
      <c r="W25" s="3">
        <f>'[3]主管'!W25</f>
        <v>0</v>
      </c>
      <c r="X25" s="3">
        <f>'[3]主管'!X25</f>
        <v>0</v>
      </c>
      <c r="Y25" s="3">
        <f>'[3]主管'!Y25</f>
        <v>0</v>
      </c>
      <c r="Z25" s="3">
        <f>'[3]主管'!Z25</f>
        <v>0</v>
      </c>
      <c r="AA25" s="3">
        <f t="shared" si="4"/>
        <v>0</v>
      </c>
      <c r="AB25" s="4">
        <f t="shared" si="3"/>
        <v>103943</v>
      </c>
    </row>
    <row r="26" spans="1:27" ht="48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Z26" s="10"/>
      <c r="AA26" s="10"/>
    </row>
    <row r="27" spans="1:28" ht="30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Z27" s="11"/>
      <c r="AA27" s="11"/>
      <c r="AB27" s="85"/>
    </row>
    <row r="28" ht="15.75">
      <c r="G28" s="83" t="s">
        <v>17</v>
      </c>
    </row>
  </sheetData>
  <mergeCells count="1">
    <mergeCell ref="X6:X9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B27"/>
  <sheetViews>
    <sheetView zoomScale="75" zoomScaleNormal="75" workbookViewId="0" topLeftCell="A4">
      <pane xSplit="1" ySplit="6" topLeftCell="B10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ColWidth="9.00390625" defaultRowHeight="15.75"/>
  <cols>
    <col min="1" max="1" width="27.375" style="0" customWidth="1"/>
    <col min="2" max="2" width="10.125" style="83" customWidth="1"/>
    <col min="3" max="3" width="10.00390625" style="83" customWidth="1"/>
    <col min="4" max="4" width="8.75390625" style="83" customWidth="1"/>
    <col min="5" max="6" width="9.00390625" style="83" customWidth="1"/>
    <col min="7" max="7" width="11.00390625" style="83" customWidth="1"/>
    <col min="8" max="8" width="11.50390625" style="83" customWidth="1"/>
    <col min="9" max="9" width="9.00390625" style="83" customWidth="1"/>
    <col min="10" max="10" width="11.50390625" style="83" customWidth="1"/>
    <col min="11" max="12" width="9.875" style="83" customWidth="1"/>
    <col min="13" max="13" width="10.125" style="83" customWidth="1"/>
    <col min="14" max="14" width="11.00390625" style="83" customWidth="1"/>
    <col min="15" max="15" width="11.875" style="83" customWidth="1"/>
    <col min="16" max="16" width="10.625" style="83" customWidth="1"/>
    <col min="17" max="17" width="11.25390625" style="83" customWidth="1"/>
    <col min="18" max="18" width="11.50390625" style="83" customWidth="1"/>
    <col min="19" max="26" width="9.00390625" style="83" customWidth="1"/>
    <col min="27" max="27" width="10.375" style="83" customWidth="1"/>
    <col min="28" max="28" width="12.25390625" style="83" customWidth="1"/>
  </cols>
  <sheetData>
    <row r="1" spans="5:28" ht="21">
      <c r="E1" s="2"/>
      <c r="F1" s="15" t="s">
        <v>95</v>
      </c>
      <c r="G1" s="16" t="s">
        <v>96</v>
      </c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15" t="s">
        <v>95</v>
      </c>
      <c r="T1" s="16" t="s">
        <v>96</v>
      </c>
      <c r="U1" s="68"/>
      <c r="V1" s="68"/>
      <c r="W1" s="68"/>
      <c r="X1" s="68"/>
      <c r="Y1" s="68"/>
      <c r="Z1" s="68"/>
      <c r="AA1" s="68"/>
      <c r="AB1" s="68"/>
    </row>
    <row r="2" spans="2:28" ht="27.75">
      <c r="B2" s="68"/>
      <c r="C2" s="68"/>
      <c r="D2" s="1"/>
      <c r="E2" s="1"/>
      <c r="F2" s="17" t="s">
        <v>97</v>
      </c>
      <c r="G2" s="18" t="s">
        <v>98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17" t="s">
        <v>97</v>
      </c>
      <c r="T2" s="18" t="s">
        <v>98</v>
      </c>
      <c r="U2" s="68"/>
      <c r="V2" s="68"/>
      <c r="W2" s="68"/>
      <c r="X2" s="68"/>
      <c r="Y2" s="68"/>
      <c r="Z2" s="68"/>
      <c r="AA2" s="68"/>
      <c r="AB2" s="68"/>
    </row>
    <row r="3" spans="2:28" ht="16.5">
      <c r="B3" s="68"/>
      <c r="C3" s="68"/>
      <c r="D3" s="68"/>
      <c r="E3" s="68"/>
      <c r="F3" s="19" t="s">
        <v>126</v>
      </c>
      <c r="G3" s="35" t="s">
        <v>127</v>
      </c>
      <c r="H3" s="68"/>
      <c r="I3" s="68"/>
      <c r="J3" s="68"/>
      <c r="K3" s="68"/>
      <c r="L3" s="68"/>
      <c r="M3" s="20" t="s">
        <v>0</v>
      </c>
      <c r="N3" s="68"/>
      <c r="O3" s="68"/>
      <c r="P3" s="68"/>
      <c r="Q3" s="68"/>
      <c r="R3" s="68"/>
      <c r="S3" s="19" t="s">
        <v>126</v>
      </c>
      <c r="T3" s="35" t="s">
        <v>127</v>
      </c>
      <c r="U3" s="68"/>
      <c r="V3" s="68"/>
      <c r="W3" s="68"/>
      <c r="X3" s="68"/>
      <c r="Y3" s="68"/>
      <c r="Z3" s="68"/>
      <c r="AA3" s="68"/>
      <c r="AB3" s="20" t="s">
        <v>0</v>
      </c>
    </row>
    <row r="4" spans="1:28" ht="30" customHeight="1">
      <c r="A4" s="21" t="s">
        <v>1</v>
      </c>
      <c r="B4" s="22" t="s">
        <v>186</v>
      </c>
      <c r="C4" s="69"/>
      <c r="D4" s="69"/>
      <c r="E4" s="69"/>
      <c r="F4" s="69"/>
      <c r="G4" s="69"/>
      <c r="H4" s="69"/>
      <c r="I4" s="69"/>
      <c r="J4" s="70"/>
      <c r="K4" s="23" t="s">
        <v>187</v>
      </c>
      <c r="L4" s="71"/>
      <c r="M4" s="71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3"/>
      <c r="AB4" s="74"/>
    </row>
    <row r="5" spans="1:28" s="9" customFormat="1" ht="25.5" customHeight="1">
      <c r="A5" s="24" t="s">
        <v>3</v>
      </c>
      <c r="B5" s="25" t="s">
        <v>4</v>
      </c>
      <c r="C5" s="25" t="s">
        <v>5</v>
      </c>
      <c r="D5" s="25" t="s">
        <v>6</v>
      </c>
      <c r="E5" s="25" t="s">
        <v>7</v>
      </c>
      <c r="F5" s="26" t="s">
        <v>188</v>
      </c>
      <c r="G5" s="75"/>
      <c r="H5" s="75"/>
      <c r="I5" s="76"/>
      <c r="J5" s="44" t="s">
        <v>112</v>
      </c>
      <c r="K5" s="26" t="s">
        <v>189</v>
      </c>
      <c r="L5" s="75"/>
      <c r="M5" s="76"/>
      <c r="N5" s="26" t="s">
        <v>190</v>
      </c>
      <c r="O5" s="75"/>
      <c r="P5" s="75"/>
      <c r="Q5" s="76"/>
      <c r="R5" s="25" t="s">
        <v>11</v>
      </c>
      <c r="S5" s="25" t="s">
        <v>12</v>
      </c>
      <c r="T5" s="26" t="s">
        <v>191</v>
      </c>
      <c r="U5" s="75"/>
      <c r="V5" s="75"/>
      <c r="W5" s="75"/>
      <c r="X5" s="75"/>
      <c r="Y5" s="75"/>
      <c r="Z5" s="77"/>
      <c r="AA5" s="25" t="s">
        <v>13</v>
      </c>
      <c r="AB5" s="27" t="s">
        <v>14</v>
      </c>
    </row>
    <row r="6" spans="1:28" ht="16.5">
      <c r="A6" s="10"/>
      <c r="B6" s="80"/>
      <c r="C6" s="28" t="s">
        <v>15</v>
      </c>
      <c r="D6" s="28" t="s">
        <v>16</v>
      </c>
      <c r="E6" s="28" t="s">
        <v>192</v>
      </c>
      <c r="F6" s="80"/>
      <c r="G6" s="80"/>
      <c r="H6" s="80"/>
      <c r="I6" s="80"/>
      <c r="J6" s="28" t="s">
        <v>193</v>
      </c>
      <c r="K6" s="80"/>
      <c r="L6" s="43" t="s">
        <v>194</v>
      </c>
      <c r="M6" s="43" t="s">
        <v>195</v>
      </c>
      <c r="N6" s="80" t="s">
        <v>17</v>
      </c>
      <c r="O6" s="80"/>
      <c r="P6" s="80"/>
      <c r="Q6" s="80"/>
      <c r="R6" s="28" t="s">
        <v>18</v>
      </c>
      <c r="S6" s="28" t="s">
        <v>196</v>
      </c>
      <c r="T6" s="80" t="s">
        <v>17</v>
      </c>
      <c r="U6" s="80" t="s">
        <v>17</v>
      </c>
      <c r="V6" s="80"/>
      <c r="W6" s="80"/>
      <c r="X6" s="80"/>
      <c r="Y6" s="107" t="s">
        <v>183</v>
      </c>
      <c r="Z6" s="80"/>
      <c r="AA6" s="28" t="s">
        <v>197</v>
      </c>
      <c r="AB6" s="81"/>
    </row>
    <row r="7" spans="1:28" ht="16.5">
      <c r="A7" s="10"/>
      <c r="B7" s="28" t="s">
        <v>19</v>
      </c>
      <c r="C7" s="28" t="s">
        <v>198</v>
      </c>
      <c r="D7" s="80"/>
      <c r="E7" s="80" t="s">
        <v>17</v>
      </c>
      <c r="F7" s="28" t="s">
        <v>20</v>
      </c>
      <c r="G7" s="28" t="s">
        <v>21</v>
      </c>
      <c r="H7" s="28" t="s">
        <v>20</v>
      </c>
      <c r="I7" s="28" t="s">
        <v>20</v>
      </c>
      <c r="J7" s="80"/>
      <c r="K7" s="28" t="s">
        <v>22</v>
      </c>
      <c r="L7" s="28" t="s">
        <v>199</v>
      </c>
      <c r="M7" s="28" t="s">
        <v>23</v>
      </c>
      <c r="N7" s="28" t="s">
        <v>20</v>
      </c>
      <c r="O7" s="28" t="s">
        <v>21</v>
      </c>
      <c r="P7" s="28" t="s">
        <v>20</v>
      </c>
      <c r="Q7" s="28" t="s">
        <v>20</v>
      </c>
      <c r="R7" s="80"/>
      <c r="S7" s="80"/>
      <c r="T7" s="28" t="s">
        <v>24</v>
      </c>
      <c r="U7" s="28" t="s">
        <v>25</v>
      </c>
      <c r="V7" s="28" t="s">
        <v>26</v>
      </c>
      <c r="W7" s="28" t="s">
        <v>27</v>
      </c>
      <c r="X7" s="28" t="s">
        <v>28</v>
      </c>
      <c r="Y7" s="108"/>
      <c r="Z7" s="28" t="s">
        <v>29</v>
      </c>
      <c r="AA7" s="80"/>
      <c r="AB7" s="81"/>
    </row>
    <row r="8" spans="1:28" ht="16.5">
      <c r="A8" s="29" t="s">
        <v>30</v>
      </c>
      <c r="B8" s="80"/>
      <c r="C8" s="28" t="s">
        <v>31</v>
      </c>
      <c r="D8" s="28" t="s">
        <v>32</v>
      </c>
      <c r="E8" s="28" t="s">
        <v>200</v>
      </c>
      <c r="F8" s="28" t="s">
        <v>33</v>
      </c>
      <c r="G8" s="28" t="s">
        <v>34</v>
      </c>
      <c r="H8" s="28" t="s">
        <v>35</v>
      </c>
      <c r="I8" s="28" t="s">
        <v>36</v>
      </c>
      <c r="J8" s="28" t="s">
        <v>201</v>
      </c>
      <c r="K8" s="80"/>
      <c r="L8" s="28" t="s">
        <v>202</v>
      </c>
      <c r="M8" s="80"/>
      <c r="N8" s="28" t="s">
        <v>33</v>
      </c>
      <c r="O8" s="28" t="s">
        <v>34</v>
      </c>
      <c r="P8" s="28" t="s">
        <v>35</v>
      </c>
      <c r="Q8" s="28" t="s">
        <v>36</v>
      </c>
      <c r="R8" s="28" t="s">
        <v>37</v>
      </c>
      <c r="S8" s="28" t="s">
        <v>203</v>
      </c>
      <c r="T8" s="80"/>
      <c r="U8" s="28" t="s">
        <v>24</v>
      </c>
      <c r="V8" s="80"/>
      <c r="W8" s="80"/>
      <c r="X8" s="28" t="s">
        <v>38</v>
      </c>
      <c r="Y8" s="108"/>
      <c r="Z8" s="80"/>
      <c r="AA8" s="28" t="s">
        <v>201</v>
      </c>
      <c r="AB8" s="30" t="s">
        <v>39</v>
      </c>
    </row>
    <row r="9" spans="1:28" ht="16.5">
      <c r="A9" s="31" t="s">
        <v>3</v>
      </c>
      <c r="B9" s="32" t="s">
        <v>40</v>
      </c>
      <c r="C9" s="32" t="s">
        <v>41</v>
      </c>
      <c r="D9" s="32" t="s">
        <v>42</v>
      </c>
      <c r="E9" s="32" t="s">
        <v>43</v>
      </c>
      <c r="F9" s="32" t="s">
        <v>44</v>
      </c>
      <c r="G9" s="32" t="s">
        <v>45</v>
      </c>
      <c r="H9" s="32" t="s">
        <v>46</v>
      </c>
      <c r="I9" s="32" t="s">
        <v>47</v>
      </c>
      <c r="J9" s="32" t="s">
        <v>48</v>
      </c>
      <c r="K9" s="32" t="s">
        <v>49</v>
      </c>
      <c r="L9" s="32" t="s">
        <v>204</v>
      </c>
      <c r="M9" s="32" t="s">
        <v>51</v>
      </c>
      <c r="N9" s="32" t="s">
        <v>44</v>
      </c>
      <c r="O9" s="32" t="s">
        <v>205</v>
      </c>
      <c r="P9" s="32" t="s">
        <v>46</v>
      </c>
      <c r="Q9" s="32" t="s">
        <v>47</v>
      </c>
      <c r="R9" s="32" t="s">
        <v>52</v>
      </c>
      <c r="S9" s="32" t="s">
        <v>53</v>
      </c>
      <c r="T9" s="32" t="s">
        <v>54</v>
      </c>
      <c r="U9" s="32" t="s">
        <v>54</v>
      </c>
      <c r="V9" s="32" t="s">
        <v>55</v>
      </c>
      <c r="W9" s="32" t="s">
        <v>56</v>
      </c>
      <c r="X9" s="32" t="s">
        <v>57</v>
      </c>
      <c r="Y9" s="109"/>
      <c r="Z9" s="32" t="s">
        <v>58</v>
      </c>
      <c r="AA9" s="32" t="s">
        <v>48</v>
      </c>
      <c r="AB9" s="82"/>
    </row>
    <row r="10" spans="1:28" ht="30" customHeight="1">
      <c r="A10" s="10" t="s">
        <v>59</v>
      </c>
      <c r="B10" s="3">
        <f aca="true" t="shared" si="0" ref="B10:AB10">SUM(B11:B25)</f>
        <v>0</v>
      </c>
      <c r="C10" s="3">
        <f t="shared" si="0"/>
        <v>0</v>
      </c>
      <c r="D10" s="3">
        <f t="shared" si="0"/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3">
        <f t="shared" si="0"/>
        <v>0</v>
      </c>
      <c r="Q10" s="3">
        <f t="shared" si="0"/>
        <v>0</v>
      </c>
      <c r="R10" s="3">
        <f t="shared" si="0"/>
        <v>0</v>
      </c>
      <c r="S10" s="3">
        <f t="shared" si="0"/>
        <v>0</v>
      </c>
      <c r="T10" s="3">
        <f t="shared" si="0"/>
        <v>0</v>
      </c>
      <c r="U10" s="3">
        <f t="shared" si="0"/>
        <v>0</v>
      </c>
      <c r="V10" s="3">
        <f t="shared" si="0"/>
        <v>0</v>
      </c>
      <c r="W10" s="3">
        <f t="shared" si="0"/>
        <v>0</v>
      </c>
      <c r="X10" s="3">
        <f t="shared" si="0"/>
        <v>0</v>
      </c>
      <c r="Y10" s="3">
        <f t="shared" si="0"/>
        <v>0</v>
      </c>
      <c r="Z10" s="3">
        <f t="shared" si="0"/>
        <v>0</v>
      </c>
      <c r="AA10" s="3">
        <f t="shared" si="0"/>
        <v>0</v>
      </c>
      <c r="AB10" s="5">
        <f t="shared" si="0"/>
        <v>0</v>
      </c>
    </row>
    <row r="11" spans="1:28" ht="30" customHeight="1">
      <c r="A11" s="10" t="s">
        <v>60</v>
      </c>
      <c r="B11" s="3"/>
      <c r="C11" s="3"/>
      <c r="D11" s="3"/>
      <c r="E11" s="3"/>
      <c r="F11" s="3"/>
      <c r="G11" s="3"/>
      <c r="H11" s="3"/>
      <c r="I11" s="3"/>
      <c r="J11" s="3">
        <f aca="true" t="shared" si="1" ref="J11:J25">SUM(B11:I11)</f>
        <v>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>
        <f>SUM(K11:Z11)</f>
        <v>0</v>
      </c>
      <c r="AB11" s="4">
        <f aca="true" t="shared" si="2" ref="AB11:AB25">SUM(J11,AA11)</f>
        <v>0</v>
      </c>
    </row>
    <row r="12" spans="1:28" ht="30" customHeight="1">
      <c r="A12" s="12" t="s">
        <v>61</v>
      </c>
      <c r="B12" s="3"/>
      <c r="C12" s="3"/>
      <c r="D12" s="3"/>
      <c r="E12" s="3"/>
      <c r="F12" s="3"/>
      <c r="G12" s="3"/>
      <c r="H12" s="3"/>
      <c r="I12" s="3"/>
      <c r="J12" s="3">
        <f t="shared" si="1"/>
        <v>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aca="true" t="shared" si="3" ref="AA12:AA25">SUM(K12:Z12)</f>
        <v>0</v>
      </c>
      <c r="AB12" s="4">
        <f t="shared" si="2"/>
        <v>0</v>
      </c>
    </row>
    <row r="13" spans="1:28" ht="30" customHeight="1">
      <c r="A13" s="10" t="s">
        <v>62</v>
      </c>
      <c r="B13" s="3"/>
      <c r="C13" s="3"/>
      <c r="D13" s="3"/>
      <c r="E13" s="3"/>
      <c r="F13" s="3"/>
      <c r="G13" s="3"/>
      <c r="H13" s="3"/>
      <c r="I13" s="3"/>
      <c r="J13" s="3">
        <f t="shared" si="1"/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 t="shared" si="3"/>
        <v>0</v>
      </c>
      <c r="AB13" s="4">
        <f t="shared" si="2"/>
        <v>0</v>
      </c>
    </row>
    <row r="14" spans="1:28" ht="30" customHeight="1">
      <c r="A14" s="10" t="s">
        <v>63</v>
      </c>
      <c r="B14" s="3"/>
      <c r="C14" s="3"/>
      <c r="D14" s="3"/>
      <c r="E14" s="3"/>
      <c r="F14" s="3"/>
      <c r="G14" s="3"/>
      <c r="H14" s="3"/>
      <c r="I14" s="3"/>
      <c r="J14" s="3">
        <f t="shared" si="1"/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 t="shared" si="3"/>
        <v>0</v>
      </c>
      <c r="AB14" s="4">
        <f t="shared" si="2"/>
        <v>0</v>
      </c>
    </row>
    <row r="15" spans="1:28" ht="30" customHeight="1">
      <c r="A15" s="10" t="s">
        <v>64</v>
      </c>
      <c r="B15" s="3"/>
      <c r="C15" s="3"/>
      <c r="D15" s="3"/>
      <c r="E15" s="3"/>
      <c r="F15" s="3"/>
      <c r="G15" s="3"/>
      <c r="H15" s="3"/>
      <c r="I15" s="3"/>
      <c r="J15" s="3">
        <f t="shared" si="1"/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>
        <f t="shared" si="3"/>
        <v>0</v>
      </c>
      <c r="AB15" s="4">
        <f t="shared" si="2"/>
        <v>0</v>
      </c>
    </row>
    <row r="16" spans="1:28" ht="30" customHeight="1">
      <c r="A16" s="10" t="s">
        <v>65</v>
      </c>
      <c r="B16" s="3"/>
      <c r="C16" s="3"/>
      <c r="D16" s="3"/>
      <c r="E16" s="3"/>
      <c r="F16" s="3"/>
      <c r="G16" s="3"/>
      <c r="H16" s="3"/>
      <c r="I16" s="3"/>
      <c r="J16" s="3">
        <f t="shared" si="1"/>
        <v>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>
        <f t="shared" si="3"/>
        <v>0</v>
      </c>
      <c r="AB16" s="4">
        <f t="shared" si="2"/>
        <v>0</v>
      </c>
    </row>
    <row r="17" spans="1:28" ht="30" customHeight="1">
      <c r="A17" s="10" t="s">
        <v>66</v>
      </c>
      <c r="B17" s="3"/>
      <c r="C17" s="3"/>
      <c r="D17" s="3"/>
      <c r="E17" s="3"/>
      <c r="F17" s="3"/>
      <c r="G17" s="3"/>
      <c r="H17" s="3"/>
      <c r="I17" s="3"/>
      <c r="J17" s="3">
        <f t="shared" si="1"/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>
        <f t="shared" si="3"/>
        <v>0</v>
      </c>
      <c r="AB17" s="4">
        <f t="shared" si="2"/>
        <v>0</v>
      </c>
    </row>
    <row r="18" spans="1:28" ht="30" customHeight="1">
      <c r="A18" s="12" t="s">
        <v>67</v>
      </c>
      <c r="B18" s="3"/>
      <c r="C18" s="3"/>
      <c r="D18" s="3"/>
      <c r="E18" s="3"/>
      <c r="F18" s="3"/>
      <c r="G18" s="3"/>
      <c r="H18" s="3"/>
      <c r="I18" s="3"/>
      <c r="J18" s="3">
        <f t="shared" si="1"/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3"/>
        <v>0</v>
      </c>
      <c r="AB18" s="4">
        <f t="shared" si="2"/>
        <v>0</v>
      </c>
    </row>
    <row r="19" spans="1:28" ht="30" customHeight="1">
      <c r="A19" s="12" t="s">
        <v>68</v>
      </c>
      <c r="B19" s="3"/>
      <c r="C19" s="3"/>
      <c r="D19" s="3"/>
      <c r="E19" s="3"/>
      <c r="F19" s="3"/>
      <c r="G19" s="3"/>
      <c r="H19" s="3"/>
      <c r="I19" s="3"/>
      <c r="J19" s="3">
        <f t="shared" si="1"/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3"/>
        <v>0</v>
      </c>
      <c r="AB19" s="4">
        <f t="shared" si="2"/>
        <v>0</v>
      </c>
    </row>
    <row r="20" spans="1:28" ht="30" customHeight="1">
      <c r="A20" s="10" t="s">
        <v>69</v>
      </c>
      <c r="B20" s="3"/>
      <c r="C20" s="3"/>
      <c r="D20" s="3"/>
      <c r="E20" s="3"/>
      <c r="F20" s="3"/>
      <c r="G20" s="3"/>
      <c r="H20" s="3"/>
      <c r="I20" s="3"/>
      <c r="J20" s="3">
        <f t="shared" si="1"/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3"/>
        <v>0</v>
      </c>
      <c r="AB20" s="4">
        <f t="shared" si="2"/>
        <v>0</v>
      </c>
    </row>
    <row r="21" spans="1:28" ht="30" customHeight="1">
      <c r="A21" s="12" t="s">
        <v>70</v>
      </c>
      <c r="B21" s="3"/>
      <c r="C21" s="3"/>
      <c r="D21" s="3"/>
      <c r="E21" s="3"/>
      <c r="F21" s="3"/>
      <c r="G21" s="3"/>
      <c r="H21" s="3"/>
      <c r="I21" s="3"/>
      <c r="J21" s="3">
        <f t="shared" si="1"/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3"/>
        <v>0</v>
      </c>
      <c r="AB21" s="4">
        <f t="shared" si="2"/>
        <v>0</v>
      </c>
    </row>
    <row r="22" spans="1:28" ht="30" customHeight="1">
      <c r="A22" s="10" t="s">
        <v>71</v>
      </c>
      <c r="B22" s="3"/>
      <c r="C22" s="3"/>
      <c r="D22" s="3"/>
      <c r="E22" s="3"/>
      <c r="F22" s="3"/>
      <c r="G22" s="3"/>
      <c r="H22" s="3"/>
      <c r="I22" s="3"/>
      <c r="J22" s="3">
        <f t="shared" si="1"/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>
        <f t="shared" si="3"/>
        <v>0</v>
      </c>
      <c r="AB22" s="4">
        <f t="shared" si="2"/>
        <v>0</v>
      </c>
    </row>
    <row r="23" spans="1:28" ht="30" customHeight="1">
      <c r="A23" s="10" t="s">
        <v>72</v>
      </c>
      <c r="B23" s="3"/>
      <c r="C23" s="3"/>
      <c r="D23" s="3"/>
      <c r="E23" s="3"/>
      <c r="F23" s="3"/>
      <c r="G23" s="3"/>
      <c r="H23" s="3"/>
      <c r="I23" s="3"/>
      <c r="J23" s="3">
        <f t="shared" si="1"/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>
        <f t="shared" si="3"/>
        <v>0</v>
      </c>
      <c r="AB23" s="4">
        <f t="shared" si="2"/>
        <v>0</v>
      </c>
    </row>
    <row r="24" spans="1:28" ht="30" customHeight="1">
      <c r="A24" s="66" t="s">
        <v>185</v>
      </c>
      <c r="B24" s="3"/>
      <c r="C24" s="3"/>
      <c r="D24" s="3"/>
      <c r="E24" s="3"/>
      <c r="F24" s="3"/>
      <c r="G24" s="3"/>
      <c r="H24" s="3"/>
      <c r="I24" s="3"/>
      <c r="J24" s="3">
        <f>SUM(B24:I24)</f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>
        <f>SUM(K24:Z24)</f>
        <v>0</v>
      </c>
      <c r="AB24" s="4">
        <f>SUM(J24,AA24)</f>
        <v>0</v>
      </c>
    </row>
    <row r="25" spans="1:28" ht="30" customHeight="1">
      <c r="A25" s="12" t="s">
        <v>99</v>
      </c>
      <c r="B25" s="3"/>
      <c r="C25" s="3"/>
      <c r="D25" s="3"/>
      <c r="E25" s="3"/>
      <c r="F25" s="3"/>
      <c r="G25" s="3"/>
      <c r="H25" s="3"/>
      <c r="I25" s="3"/>
      <c r="J25" s="3">
        <f t="shared" si="1"/>
        <v>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>
        <f t="shared" si="3"/>
        <v>0</v>
      </c>
      <c r="AB25" s="4">
        <f t="shared" si="2"/>
        <v>0</v>
      </c>
    </row>
    <row r="26" spans="1:27" ht="48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8" ht="30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85"/>
    </row>
  </sheetData>
  <mergeCells count="1">
    <mergeCell ref="Y6:Y9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8"/>
  <sheetViews>
    <sheetView zoomScale="75" zoomScaleNormal="75" workbookViewId="0" topLeftCell="A4">
      <selection activeCell="J14" sqref="J14"/>
    </sheetView>
  </sheetViews>
  <sheetFormatPr defaultColWidth="9.00390625" defaultRowHeight="15.75"/>
  <cols>
    <col min="1" max="1" width="27.375" style="0" customWidth="1"/>
    <col min="2" max="2" width="10.125" style="83" customWidth="1"/>
    <col min="3" max="3" width="10.00390625" style="83" customWidth="1"/>
    <col min="4" max="4" width="8.75390625" style="83" customWidth="1"/>
    <col min="5" max="6" width="9.00390625" style="83" customWidth="1"/>
    <col min="7" max="7" width="11.00390625" style="83" customWidth="1"/>
    <col min="8" max="8" width="11.50390625" style="83" customWidth="1"/>
    <col min="9" max="9" width="9.00390625" style="83" customWidth="1"/>
    <col min="10" max="10" width="11.50390625" style="83" customWidth="1"/>
    <col min="11" max="12" width="9.875" style="83" customWidth="1"/>
    <col min="13" max="13" width="10.125" style="83" customWidth="1"/>
    <col min="14" max="14" width="11.00390625" style="83" customWidth="1"/>
    <col min="15" max="15" width="11.875" style="83" customWidth="1"/>
    <col min="16" max="16" width="10.625" style="83" customWidth="1"/>
    <col min="17" max="17" width="11.25390625" style="83" customWidth="1"/>
    <col min="18" max="18" width="11.50390625" style="83" customWidth="1"/>
    <col min="19" max="26" width="9.00390625" style="83" customWidth="1"/>
    <col min="27" max="27" width="10.375" style="83" customWidth="1"/>
    <col min="28" max="28" width="12.25390625" style="83" customWidth="1"/>
  </cols>
  <sheetData>
    <row r="1" spans="5:28" ht="21">
      <c r="E1" s="2"/>
      <c r="F1" s="15" t="s">
        <v>95</v>
      </c>
      <c r="G1" s="16" t="s">
        <v>96</v>
      </c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15" t="s">
        <v>95</v>
      </c>
      <c r="T1" s="16" t="s">
        <v>96</v>
      </c>
      <c r="U1" s="68"/>
      <c r="V1" s="68"/>
      <c r="W1" s="68"/>
      <c r="X1" s="68"/>
      <c r="Y1" s="68"/>
      <c r="Z1" s="68"/>
      <c r="AA1" s="68"/>
      <c r="AB1" s="68"/>
    </row>
    <row r="2" spans="2:28" ht="27.75">
      <c r="B2" s="68"/>
      <c r="C2" s="68"/>
      <c r="D2" s="1"/>
      <c r="E2" s="1"/>
      <c r="F2" s="17" t="s">
        <v>97</v>
      </c>
      <c r="G2" s="18" t="s">
        <v>98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17" t="s">
        <v>97</v>
      </c>
      <c r="T2" s="18" t="s">
        <v>98</v>
      </c>
      <c r="U2" s="68"/>
      <c r="V2" s="68"/>
      <c r="W2" s="68"/>
      <c r="X2" s="68"/>
      <c r="Y2" s="68"/>
      <c r="Z2" s="68"/>
      <c r="AA2" s="68"/>
      <c r="AB2" s="68"/>
    </row>
    <row r="3" spans="2:28" ht="16.5">
      <c r="B3" s="68"/>
      <c r="C3" s="68"/>
      <c r="D3" s="68"/>
      <c r="E3" s="68"/>
      <c r="F3" s="19" t="s">
        <v>126</v>
      </c>
      <c r="G3" s="35" t="s">
        <v>127</v>
      </c>
      <c r="H3" s="68"/>
      <c r="I3" s="68"/>
      <c r="J3" s="68"/>
      <c r="K3" s="68"/>
      <c r="L3" s="68"/>
      <c r="M3" s="20" t="s">
        <v>0</v>
      </c>
      <c r="N3" s="68"/>
      <c r="O3" s="68"/>
      <c r="P3" s="68"/>
      <c r="Q3" s="68"/>
      <c r="R3" s="68"/>
      <c r="S3" s="19" t="s">
        <v>126</v>
      </c>
      <c r="T3" s="35" t="s">
        <v>127</v>
      </c>
      <c r="U3" s="68"/>
      <c r="V3" s="68"/>
      <c r="W3" s="68"/>
      <c r="X3" s="68"/>
      <c r="Y3" s="68"/>
      <c r="Z3" s="68"/>
      <c r="AA3" s="68"/>
      <c r="AB3" s="20" t="s">
        <v>0</v>
      </c>
    </row>
    <row r="4" spans="1:28" ht="30" customHeight="1">
      <c r="A4" s="21" t="s">
        <v>128</v>
      </c>
      <c r="B4" s="22" t="s">
        <v>186</v>
      </c>
      <c r="C4" s="69"/>
      <c r="D4" s="69"/>
      <c r="E4" s="69"/>
      <c r="F4" s="69"/>
      <c r="G4" s="69"/>
      <c r="H4" s="69"/>
      <c r="I4" s="69"/>
      <c r="J4" s="70"/>
      <c r="K4" s="23" t="s">
        <v>187</v>
      </c>
      <c r="L4" s="71"/>
      <c r="M4" s="71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3"/>
      <c r="AB4" s="74"/>
    </row>
    <row r="5" spans="1:28" s="9" customFormat="1" ht="25.5" customHeight="1">
      <c r="A5" s="24" t="s">
        <v>129</v>
      </c>
      <c r="B5" s="25" t="s">
        <v>4</v>
      </c>
      <c r="C5" s="25" t="s">
        <v>5</v>
      </c>
      <c r="D5" s="25" t="s">
        <v>6</v>
      </c>
      <c r="E5" s="25" t="s">
        <v>7</v>
      </c>
      <c r="F5" s="26" t="s">
        <v>188</v>
      </c>
      <c r="G5" s="75"/>
      <c r="H5" s="75"/>
      <c r="I5" s="76"/>
      <c r="J5" s="44" t="s">
        <v>123</v>
      </c>
      <c r="K5" s="26" t="s">
        <v>189</v>
      </c>
      <c r="L5" s="75"/>
      <c r="M5" s="76"/>
      <c r="N5" s="26" t="s">
        <v>190</v>
      </c>
      <c r="O5" s="75"/>
      <c r="P5" s="75"/>
      <c r="Q5" s="76"/>
      <c r="R5" s="25" t="s">
        <v>11</v>
      </c>
      <c r="S5" s="25" t="s">
        <v>12</v>
      </c>
      <c r="T5" s="26" t="s">
        <v>191</v>
      </c>
      <c r="U5" s="75"/>
      <c r="V5" s="75"/>
      <c r="W5" s="75"/>
      <c r="X5" s="75"/>
      <c r="Y5" s="75"/>
      <c r="Z5" s="77"/>
      <c r="AA5" s="25" t="s">
        <v>13</v>
      </c>
      <c r="AB5" s="27" t="s">
        <v>14</v>
      </c>
    </row>
    <row r="6" spans="1:28" ht="16.5">
      <c r="A6" s="55"/>
      <c r="B6" s="80"/>
      <c r="C6" s="28" t="s">
        <v>15</v>
      </c>
      <c r="D6" s="28" t="s">
        <v>16</v>
      </c>
      <c r="E6" s="28" t="s">
        <v>192</v>
      </c>
      <c r="F6" s="80"/>
      <c r="G6" s="80"/>
      <c r="H6" s="80"/>
      <c r="I6" s="80"/>
      <c r="J6" s="28" t="s">
        <v>193</v>
      </c>
      <c r="K6" s="80"/>
      <c r="L6" s="43" t="s">
        <v>124</v>
      </c>
      <c r="M6" s="43" t="s">
        <v>125</v>
      </c>
      <c r="N6" s="80" t="s">
        <v>17</v>
      </c>
      <c r="O6" s="80"/>
      <c r="P6" s="80"/>
      <c r="Q6" s="80"/>
      <c r="R6" s="28" t="s">
        <v>18</v>
      </c>
      <c r="S6" s="28" t="s">
        <v>196</v>
      </c>
      <c r="T6" s="80" t="s">
        <v>17</v>
      </c>
      <c r="U6" s="80" t="s">
        <v>17</v>
      </c>
      <c r="V6" s="80"/>
      <c r="W6" s="80"/>
      <c r="X6" s="107" t="s">
        <v>183</v>
      </c>
      <c r="Y6" s="80"/>
      <c r="Z6" s="80"/>
      <c r="AA6" s="28" t="s">
        <v>197</v>
      </c>
      <c r="AB6" s="81"/>
    </row>
    <row r="7" spans="1:28" ht="16.5">
      <c r="A7" s="55"/>
      <c r="B7" s="28" t="s">
        <v>19</v>
      </c>
      <c r="C7" s="28" t="s">
        <v>198</v>
      </c>
      <c r="D7" s="80"/>
      <c r="E7" s="80" t="s">
        <v>17</v>
      </c>
      <c r="F7" s="28" t="s">
        <v>20</v>
      </c>
      <c r="G7" s="28" t="s">
        <v>21</v>
      </c>
      <c r="H7" s="28" t="s">
        <v>20</v>
      </c>
      <c r="I7" s="28" t="s">
        <v>20</v>
      </c>
      <c r="J7" s="80"/>
      <c r="K7" s="28" t="s">
        <v>22</v>
      </c>
      <c r="L7" s="28" t="s">
        <v>199</v>
      </c>
      <c r="M7" s="28" t="s">
        <v>23</v>
      </c>
      <c r="N7" s="28" t="s">
        <v>20</v>
      </c>
      <c r="O7" s="28" t="s">
        <v>21</v>
      </c>
      <c r="P7" s="28" t="s">
        <v>20</v>
      </c>
      <c r="Q7" s="28" t="s">
        <v>20</v>
      </c>
      <c r="R7" s="80"/>
      <c r="S7" s="80"/>
      <c r="T7" s="28" t="s">
        <v>24</v>
      </c>
      <c r="U7" s="28" t="s">
        <v>25</v>
      </c>
      <c r="V7" s="28" t="s">
        <v>26</v>
      </c>
      <c r="W7" s="28" t="s">
        <v>27</v>
      </c>
      <c r="X7" s="108"/>
      <c r="Y7" s="28" t="s">
        <v>28</v>
      </c>
      <c r="Z7" s="28" t="s">
        <v>29</v>
      </c>
      <c r="AA7" s="80"/>
      <c r="AB7" s="81"/>
    </row>
    <row r="8" spans="1:28" ht="16.5">
      <c r="A8" s="29" t="s">
        <v>130</v>
      </c>
      <c r="B8" s="80"/>
      <c r="C8" s="28" t="s">
        <v>31</v>
      </c>
      <c r="D8" s="28" t="s">
        <v>32</v>
      </c>
      <c r="E8" s="28" t="s">
        <v>200</v>
      </c>
      <c r="F8" s="28" t="s">
        <v>33</v>
      </c>
      <c r="G8" s="28" t="s">
        <v>34</v>
      </c>
      <c r="H8" s="28" t="s">
        <v>35</v>
      </c>
      <c r="I8" s="28" t="s">
        <v>36</v>
      </c>
      <c r="J8" s="28" t="s">
        <v>201</v>
      </c>
      <c r="K8" s="80"/>
      <c r="L8" s="28" t="s">
        <v>202</v>
      </c>
      <c r="M8" s="80"/>
      <c r="N8" s="28" t="s">
        <v>33</v>
      </c>
      <c r="O8" s="28" t="s">
        <v>34</v>
      </c>
      <c r="P8" s="28" t="s">
        <v>35</v>
      </c>
      <c r="Q8" s="28" t="s">
        <v>36</v>
      </c>
      <c r="R8" s="28" t="s">
        <v>37</v>
      </c>
      <c r="S8" s="28" t="s">
        <v>203</v>
      </c>
      <c r="T8" s="80"/>
      <c r="U8" s="28" t="s">
        <v>24</v>
      </c>
      <c r="V8" s="80"/>
      <c r="W8" s="80"/>
      <c r="X8" s="108"/>
      <c r="Y8" s="28" t="s">
        <v>38</v>
      </c>
      <c r="Z8" s="80"/>
      <c r="AA8" s="28" t="s">
        <v>201</v>
      </c>
      <c r="AB8" s="30" t="s">
        <v>39</v>
      </c>
    </row>
    <row r="9" spans="1:28" ht="16.5">
      <c r="A9" s="31" t="s">
        <v>129</v>
      </c>
      <c r="B9" s="32" t="s">
        <v>40</v>
      </c>
      <c r="C9" s="32" t="s">
        <v>41</v>
      </c>
      <c r="D9" s="32" t="s">
        <v>42</v>
      </c>
      <c r="E9" s="32" t="s">
        <v>43</v>
      </c>
      <c r="F9" s="32" t="s">
        <v>44</v>
      </c>
      <c r="G9" s="32" t="s">
        <v>45</v>
      </c>
      <c r="H9" s="32" t="s">
        <v>46</v>
      </c>
      <c r="I9" s="32" t="s">
        <v>47</v>
      </c>
      <c r="J9" s="32" t="s">
        <v>48</v>
      </c>
      <c r="K9" s="32" t="s">
        <v>49</v>
      </c>
      <c r="L9" s="32" t="s">
        <v>204</v>
      </c>
      <c r="M9" s="32" t="s">
        <v>51</v>
      </c>
      <c r="N9" s="32" t="s">
        <v>44</v>
      </c>
      <c r="O9" s="32" t="s">
        <v>205</v>
      </c>
      <c r="P9" s="32" t="s">
        <v>46</v>
      </c>
      <c r="Q9" s="32" t="s">
        <v>47</v>
      </c>
      <c r="R9" s="32" t="s">
        <v>52</v>
      </c>
      <c r="S9" s="32" t="s">
        <v>53</v>
      </c>
      <c r="T9" s="32" t="s">
        <v>54</v>
      </c>
      <c r="U9" s="32" t="s">
        <v>54</v>
      </c>
      <c r="V9" s="32" t="s">
        <v>55</v>
      </c>
      <c r="W9" s="32" t="s">
        <v>56</v>
      </c>
      <c r="X9" s="109"/>
      <c r="Y9" s="32" t="s">
        <v>57</v>
      </c>
      <c r="Z9" s="32" t="s">
        <v>58</v>
      </c>
      <c r="AA9" s="32" t="s">
        <v>48</v>
      </c>
      <c r="AB9" s="82"/>
    </row>
    <row r="10" spans="1:28" ht="30" customHeight="1">
      <c r="A10" s="55" t="s">
        <v>131</v>
      </c>
      <c r="B10" s="3">
        <f aca="true" t="shared" si="0" ref="B10:AB10">SUM(B11:B25)</f>
        <v>1812287</v>
      </c>
      <c r="C10" s="3">
        <f t="shared" si="0"/>
        <v>440188</v>
      </c>
      <c r="D10" s="3">
        <f t="shared" si="0"/>
        <v>0</v>
      </c>
      <c r="E10" s="3">
        <f t="shared" si="0"/>
        <v>0</v>
      </c>
      <c r="F10" s="3">
        <f t="shared" si="0"/>
        <v>22000</v>
      </c>
      <c r="G10" s="3">
        <f t="shared" si="0"/>
        <v>5641613</v>
      </c>
      <c r="H10" s="3">
        <f t="shared" si="0"/>
        <v>214446</v>
      </c>
      <c r="I10" s="3">
        <f t="shared" si="0"/>
        <v>217</v>
      </c>
      <c r="J10" s="3">
        <f t="shared" si="0"/>
        <v>8130751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3">
        <f t="shared" si="0"/>
        <v>0</v>
      </c>
      <c r="Q10" s="3">
        <f t="shared" si="0"/>
        <v>0</v>
      </c>
      <c r="R10" s="3">
        <f t="shared" si="0"/>
        <v>0</v>
      </c>
      <c r="S10" s="3">
        <f t="shared" si="0"/>
        <v>0</v>
      </c>
      <c r="T10" s="3">
        <f t="shared" si="0"/>
        <v>0</v>
      </c>
      <c r="U10" s="3">
        <f t="shared" si="0"/>
        <v>0</v>
      </c>
      <c r="V10" s="3">
        <f t="shared" si="0"/>
        <v>0</v>
      </c>
      <c r="W10" s="3">
        <f t="shared" si="0"/>
        <v>4497</v>
      </c>
      <c r="X10" s="3">
        <f>SUM(X11:X25)</f>
        <v>28247</v>
      </c>
      <c r="Y10" s="3">
        <f t="shared" si="0"/>
        <v>52435</v>
      </c>
      <c r="Z10" s="3">
        <f t="shared" si="0"/>
        <v>0</v>
      </c>
      <c r="AA10" s="3">
        <f t="shared" si="0"/>
        <v>85179</v>
      </c>
      <c r="AB10" s="5">
        <f t="shared" si="0"/>
        <v>8215930</v>
      </c>
    </row>
    <row r="11" spans="1:28" ht="30" customHeight="1">
      <c r="A11" s="55" t="s">
        <v>60</v>
      </c>
      <c r="B11" s="3">
        <f>'[2]主管'!B11</f>
        <v>1531775</v>
      </c>
      <c r="C11" s="3">
        <f>'[2]主管'!C11</f>
        <v>415202</v>
      </c>
      <c r="D11" s="3">
        <f>'[2]主管'!D11</f>
        <v>0</v>
      </c>
      <c r="E11" s="3">
        <f>'[2]主管'!E11</f>
        <v>0</v>
      </c>
      <c r="F11" s="3">
        <f>'[2]主管'!F11</f>
        <v>0</v>
      </c>
      <c r="G11" s="3">
        <f>'[2]主管'!G11</f>
        <v>3163</v>
      </c>
      <c r="H11" s="3">
        <f>'[2]主管'!H11</f>
        <v>86</v>
      </c>
      <c r="I11" s="3">
        <f>'[2]主管'!I11</f>
        <v>217</v>
      </c>
      <c r="J11" s="3">
        <f aca="true" t="shared" si="1" ref="J11:J25">SUM(B11:I11)</f>
        <v>1950443</v>
      </c>
      <c r="K11" s="3">
        <f>'[2]主管'!K10</f>
        <v>0</v>
      </c>
      <c r="L11" s="3">
        <f>'[2]主管'!L10</f>
        <v>0</v>
      </c>
      <c r="M11" s="3">
        <f>'[2]主管'!M10</f>
        <v>0</v>
      </c>
      <c r="N11" s="3">
        <f>'[2]主管'!N11</f>
        <v>0</v>
      </c>
      <c r="O11" s="3">
        <f>'[2]主管'!O11</f>
        <v>0</v>
      </c>
      <c r="P11" s="3">
        <f>'[2]主管'!P11</f>
        <v>0</v>
      </c>
      <c r="Q11" s="3">
        <f>'[2]主管'!Q11</f>
        <v>0</v>
      </c>
      <c r="R11" s="3">
        <f>'[2]主管'!R11</f>
        <v>0</v>
      </c>
      <c r="S11" s="3">
        <f>'[2]主管'!S11</f>
        <v>0</v>
      </c>
      <c r="T11" s="3">
        <f>'[2]主管'!T11</f>
        <v>0</v>
      </c>
      <c r="U11" s="3">
        <f>'[2]主管'!U11</f>
        <v>0</v>
      </c>
      <c r="V11" s="3">
        <f>'[2]主管'!V11</f>
        <v>0</v>
      </c>
      <c r="W11" s="3">
        <f>'[2]主管'!W11</f>
        <v>4497</v>
      </c>
      <c r="X11" s="3">
        <f>'[2]主管'!X11</f>
        <v>26373</v>
      </c>
      <c r="Y11" s="3">
        <f>'[2]主管'!Y11</f>
        <v>48998</v>
      </c>
      <c r="Z11" s="3">
        <f>'[2]主管'!Z11</f>
        <v>0</v>
      </c>
      <c r="AA11" s="3">
        <f aca="true" t="shared" si="2" ref="AA11:AA25">SUM(K11:Z11)</f>
        <v>79868</v>
      </c>
      <c r="AB11" s="4">
        <f aca="true" t="shared" si="3" ref="AB11:AB25">SUM(J11,AA11)</f>
        <v>2030311</v>
      </c>
    </row>
    <row r="12" spans="1:28" ht="30" customHeight="1">
      <c r="A12" s="56" t="s">
        <v>132</v>
      </c>
      <c r="B12" s="3">
        <f>'[2]主管'!B12</f>
        <v>0</v>
      </c>
      <c r="C12" s="3">
        <f>'[2]主管'!C12</f>
        <v>0</v>
      </c>
      <c r="D12" s="3">
        <f>'[2]主管'!D12</f>
        <v>0</v>
      </c>
      <c r="E12" s="3">
        <f>'[2]主管'!E12</f>
        <v>0</v>
      </c>
      <c r="F12" s="3">
        <f>'[2]主管'!F12</f>
        <v>0</v>
      </c>
      <c r="G12" s="3">
        <f>'[2]主管'!G12</f>
        <v>0</v>
      </c>
      <c r="H12" s="3">
        <f>'[2]主管'!H12</f>
        <v>0</v>
      </c>
      <c r="I12" s="3">
        <f>'[2]主管'!I12</f>
        <v>0</v>
      </c>
      <c r="J12" s="3">
        <f t="shared" si="1"/>
        <v>0</v>
      </c>
      <c r="K12" s="3">
        <f>'[2]主管'!K11</f>
        <v>0</v>
      </c>
      <c r="L12" s="3">
        <f>'[2]主管'!L11</f>
        <v>0</v>
      </c>
      <c r="M12" s="3">
        <f>'[2]主管'!M11</f>
        <v>0</v>
      </c>
      <c r="N12" s="3">
        <f>'[2]主管'!N12</f>
        <v>0</v>
      </c>
      <c r="O12" s="3">
        <f>'[2]主管'!O12</f>
        <v>0</v>
      </c>
      <c r="P12" s="3">
        <f>'[2]主管'!P12</f>
        <v>0</v>
      </c>
      <c r="Q12" s="3">
        <f>'[2]主管'!Q12</f>
        <v>0</v>
      </c>
      <c r="R12" s="3">
        <f>'[2]主管'!R12</f>
        <v>0</v>
      </c>
      <c r="S12" s="3">
        <f>'[2]主管'!S12</f>
        <v>0</v>
      </c>
      <c r="T12" s="3">
        <f>'[2]主管'!T12</f>
        <v>0</v>
      </c>
      <c r="U12" s="3">
        <f>'[2]主管'!U12</f>
        <v>0</v>
      </c>
      <c r="V12" s="3">
        <f>'[2]主管'!V12</f>
        <v>0</v>
      </c>
      <c r="W12" s="3">
        <f>'[2]主管'!W12</f>
        <v>0</v>
      </c>
      <c r="X12" s="3">
        <f>'[2]主管'!X12</f>
        <v>0</v>
      </c>
      <c r="Y12" s="3">
        <f>'[2]主管'!Y12</f>
        <v>0</v>
      </c>
      <c r="Z12" s="3">
        <f>'[2]主管'!Z12</f>
        <v>0</v>
      </c>
      <c r="AA12" s="3">
        <f t="shared" si="2"/>
        <v>0</v>
      </c>
      <c r="AB12" s="4">
        <f t="shared" si="3"/>
        <v>0</v>
      </c>
    </row>
    <row r="13" spans="1:28" ht="30" customHeight="1">
      <c r="A13" s="55" t="s">
        <v>62</v>
      </c>
      <c r="B13" s="3">
        <f>'[2]主管'!B13</f>
        <v>0</v>
      </c>
      <c r="C13" s="3">
        <f>'[2]主管'!C13</f>
        <v>0</v>
      </c>
      <c r="D13" s="3">
        <f>'[2]主管'!D13</f>
        <v>0</v>
      </c>
      <c r="E13" s="3">
        <f>'[2]主管'!E13</f>
        <v>0</v>
      </c>
      <c r="F13" s="3">
        <f>'[2]主管'!F13</f>
        <v>0</v>
      </c>
      <c r="G13" s="3">
        <f>'[2]主管'!G13</f>
        <v>0</v>
      </c>
      <c r="H13" s="3">
        <f>'[2]主管'!H13</f>
        <v>0</v>
      </c>
      <c r="I13" s="3">
        <f>'[2]主管'!I13</f>
        <v>0</v>
      </c>
      <c r="J13" s="3">
        <f t="shared" si="1"/>
        <v>0</v>
      </c>
      <c r="K13" s="3">
        <f>'[2]主管'!K12</f>
        <v>0</v>
      </c>
      <c r="L13" s="3">
        <f>'[2]主管'!L12</f>
        <v>0</v>
      </c>
      <c r="M13" s="3">
        <f>'[2]主管'!M12</f>
        <v>0</v>
      </c>
      <c r="N13" s="3">
        <f>'[2]主管'!N13</f>
        <v>0</v>
      </c>
      <c r="O13" s="3">
        <f>'[2]主管'!O13</f>
        <v>0</v>
      </c>
      <c r="P13" s="3">
        <f>'[2]主管'!P13</f>
        <v>0</v>
      </c>
      <c r="Q13" s="3">
        <f>'[2]主管'!Q13</f>
        <v>0</v>
      </c>
      <c r="R13" s="3">
        <f>'[2]主管'!R13</f>
        <v>0</v>
      </c>
      <c r="S13" s="3">
        <f>'[2]主管'!S13</f>
        <v>0</v>
      </c>
      <c r="T13" s="3">
        <f>'[2]主管'!T13</f>
        <v>0</v>
      </c>
      <c r="U13" s="3">
        <f>'[2]主管'!U13</f>
        <v>0</v>
      </c>
      <c r="V13" s="3">
        <f>'[2]主管'!V13</f>
        <v>0</v>
      </c>
      <c r="W13" s="3">
        <f>'[2]主管'!W13</f>
        <v>0</v>
      </c>
      <c r="X13" s="3">
        <f>'[2]主管'!X13</f>
        <v>0</v>
      </c>
      <c r="Y13" s="3">
        <f>'[2]主管'!Y13</f>
        <v>0</v>
      </c>
      <c r="Z13" s="3">
        <f>'[2]主管'!Z13</f>
        <v>0</v>
      </c>
      <c r="AA13" s="3">
        <f t="shared" si="2"/>
        <v>0</v>
      </c>
      <c r="AB13" s="4">
        <f t="shared" si="3"/>
        <v>0</v>
      </c>
    </row>
    <row r="14" spans="1:28" ht="30" customHeight="1">
      <c r="A14" s="55" t="s">
        <v>63</v>
      </c>
      <c r="B14" s="3">
        <f>'[2]主管'!B14</f>
        <v>0</v>
      </c>
      <c r="C14" s="3">
        <f>'[2]主管'!C14</f>
        <v>0</v>
      </c>
      <c r="D14" s="3">
        <f>'[2]主管'!D14</f>
        <v>0</v>
      </c>
      <c r="E14" s="3">
        <f>'[2]主管'!E14</f>
        <v>0</v>
      </c>
      <c r="F14" s="3">
        <f>'[2]主管'!F14</f>
        <v>0</v>
      </c>
      <c r="G14" s="3">
        <f>'[2]主管'!G14</f>
        <v>0</v>
      </c>
      <c r="H14" s="3">
        <f>'[2]主管'!H14</f>
        <v>0</v>
      </c>
      <c r="I14" s="3">
        <f>'[2]主管'!I14</f>
        <v>0</v>
      </c>
      <c r="J14" s="3">
        <f t="shared" si="1"/>
        <v>0</v>
      </c>
      <c r="K14" s="3">
        <f>'[2]主管'!K13</f>
        <v>0</v>
      </c>
      <c r="L14" s="3">
        <f>'[2]主管'!L13</f>
        <v>0</v>
      </c>
      <c r="M14" s="3">
        <f>'[2]主管'!M13</f>
        <v>0</v>
      </c>
      <c r="N14" s="3">
        <f>'[2]主管'!N14</f>
        <v>0</v>
      </c>
      <c r="O14" s="3">
        <f>'[2]主管'!O14</f>
        <v>0</v>
      </c>
      <c r="P14" s="3">
        <f>'[2]主管'!P14</f>
        <v>0</v>
      </c>
      <c r="Q14" s="3">
        <f>'[2]主管'!Q14</f>
        <v>0</v>
      </c>
      <c r="R14" s="3">
        <f>'[2]主管'!R14</f>
        <v>0</v>
      </c>
      <c r="S14" s="3">
        <f>'[2]主管'!S14</f>
        <v>0</v>
      </c>
      <c r="T14" s="3">
        <f>'[2]主管'!T14</f>
        <v>0</v>
      </c>
      <c r="U14" s="3">
        <f>'[2]主管'!U14</f>
        <v>0</v>
      </c>
      <c r="V14" s="3">
        <f>'[2]主管'!V14</f>
        <v>0</v>
      </c>
      <c r="W14" s="3">
        <f>'[2]主管'!W14</f>
        <v>0</v>
      </c>
      <c r="X14" s="3">
        <f>'[2]主管'!X14</f>
        <v>0</v>
      </c>
      <c r="Y14" s="3">
        <f>'[2]主管'!Y14</f>
        <v>0</v>
      </c>
      <c r="Z14" s="3">
        <f>'[2]主管'!Z14</f>
        <v>0</v>
      </c>
      <c r="AA14" s="3">
        <f t="shared" si="2"/>
        <v>0</v>
      </c>
      <c r="AB14" s="4">
        <f t="shared" si="3"/>
        <v>0</v>
      </c>
    </row>
    <row r="15" spans="1:28" ht="30" customHeight="1">
      <c r="A15" s="55" t="s">
        <v>64</v>
      </c>
      <c r="B15" s="3">
        <f>'[2]主管'!B15</f>
        <v>0</v>
      </c>
      <c r="C15" s="3">
        <f>'[2]主管'!C15</f>
        <v>0</v>
      </c>
      <c r="D15" s="3">
        <f>'[2]主管'!D15</f>
        <v>0</v>
      </c>
      <c r="E15" s="3">
        <f>'[2]主管'!E15</f>
        <v>0</v>
      </c>
      <c r="F15" s="3">
        <f>'[2]主管'!F15</f>
        <v>0</v>
      </c>
      <c r="G15" s="3">
        <f>'[2]主管'!G15</f>
        <v>0</v>
      </c>
      <c r="H15" s="3">
        <f>'[2]主管'!H15</f>
        <v>0</v>
      </c>
      <c r="I15" s="3">
        <f>'[2]主管'!I15</f>
        <v>0</v>
      </c>
      <c r="J15" s="3">
        <f t="shared" si="1"/>
        <v>0</v>
      </c>
      <c r="K15" s="3">
        <f>'[2]主管'!K14</f>
        <v>0</v>
      </c>
      <c r="L15" s="3">
        <f>'[2]主管'!L14</f>
        <v>0</v>
      </c>
      <c r="M15" s="3">
        <f>'[2]主管'!M14</f>
        <v>0</v>
      </c>
      <c r="N15" s="3">
        <f>'[2]主管'!N15</f>
        <v>0</v>
      </c>
      <c r="O15" s="3">
        <f>'[2]主管'!O15</f>
        <v>0</v>
      </c>
      <c r="P15" s="3">
        <f>'[2]主管'!P15</f>
        <v>0</v>
      </c>
      <c r="Q15" s="3">
        <f>'[2]主管'!Q15</f>
        <v>0</v>
      </c>
      <c r="R15" s="3">
        <f>'[2]主管'!R15</f>
        <v>0</v>
      </c>
      <c r="S15" s="3">
        <f>'[2]主管'!S15</f>
        <v>0</v>
      </c>
      <c r="T15" s="3">
        <f>'[2]主管'!T15</f>
        <v>0</v>
      </c>
      <c r="U15" s="3">
        <f>'[2]主管'!U15</f>
        <v>0</v>
      </c>
      <c r="V15" s="3">
        <f>'[2]主管'!V15</f>
        <v>0</v>
      </c>
      <c r="W15" s="3">
        <f>'[2]主管'!W15</f>
        <v>0</v>
      </c>
      <c r="X15" s="3">
        <f>'[2]主管'!X15</f>
        <v>0</v>
      </c>
      <c r="Y15" s="3">
        <f>'[2]主管'!Y15</f>
        <v>0</v>
      </c>
      <c r="Z15" s="3">
        <f>'[2]主管'!Z15</f>
        <v>0</v>
      </c>
      <c r="AA15" s="3">
        <f t="shared" si="2"/>
        <v>0</v>
      </c>
      <c r="AB15" s="4">
        <f t="shared" si="3"/>
        <v>0</v>
      </c>
    </row>
    <row r="16" spans="1:28" ht="30" customHeight="1">
      <c r="A16" s="55" t="s">
        <v>65</v>
      </c>
      <c r="B16" s="3">
        <f>'[2]主管'!B16</f>
        <v>263947</v>
      </c>
      <c r="C16" s="3">
        <f>'[2]主管'!C16</f>
        <v>24986</v>
      </c>
      <c r="D16" s="3">
        <f>'[2]主管'!D16</f>
        <v>0</v>
      </c>
      <c r="E16" s="3">
        <f>'[2]主管'!E16</f>
        <v>0</v>
      </c>
      <c r="F16" s="3">
        <f>'[2]主管'!F16</f>
        <v>22000</v>
      </c>
      <c r="G16" s="3">
        <f>'[2]主管'!G16</f>
        <v>5638450</v>
      </c>
      <c r="H16" s="3">
        <f>'[2]主管'!H16</f>
        <v>214360</v>
      </c>
      <c r="I16" s="3">
        <f>'[2]主管'!I16</f>
        <v>0</v>
      </c>
      <c r="J16" s="3">
        <f t="shared" si="1"/>
        <v>6163743</v>
      </c>
      <c r="K16" s="3">
        <f>'[2]主管'!K15</f>
        <v>0</v>
      </c>
      <c r="L16" s="3">
        <f>'[2]主管'!L15</f>
        <v>0</v>
      </c>
      <c r="M16" s="3">
        <f>'[2]主管'!M15</f>
        <v>0</v>
      </c>
      <c r="N16" s="3">
        <f>'[2]主管'!N16</f>
        <v>0</v>
      </c>
      <c r="O16" s="3">
        <f>'[2]主管'!O16</f>
        <v>0</v>
      </c>
      <c r="P16" s="3">
        <f>'[2]主管'!P16</f>
        <v>0</v>
      </c>
      <c r="Q16" s="3">
        <f>'[2]主管'!Q16</f>
        <v>0</v>
      </c>
      <c r="R16" s="3">
        <f>'[2]主管'!R16</f>
        <v>0</v>
      </c>
      <c r="S16" s="3">
        <f>'[2]主管'!S16</f>
        <v>0</v>
      </c>
      <c r="T16" s="3">
        <f>'[2]主管'!T16</f>
        <v>0</v>
      </c>
      <c r="U16" s="3">
        <f>'[2]主管'!U16</f>
        <v>0</v>
      </c>
      <c r="V16" s="3">
        <f>'[2]主管'!V16</f>
        <v>0</v>
      </c>
      <c r="W16" s="3">
        <f>'[2]主管'!W16</f>
        <v>0</v>
      </c>
      <c r="X16" s="3">
        <f>'[2]主管'!X16</f>
        <v>1874</v>
      </c>
      <c r="Y16" s="3">
        <f>'[2]主管'!Y16</f>
        <v>3437</v>
      </c>
      <c r="Z16" s="3">
        <f>'[2]主管'!Z16</f>
        <v>0</v>
      </c>
      <c r="AA16" s="3">
        <f t="shared" si="2"/>
        <v>5311</v>
      </c>
      <c r="AB16" s="4">
        <f t="shared" si="3"/>
        <v>6169054</v>
      </c>
    </row>
    <row r="17" spans="1:28" ht="30" customHeight="1">
      <c r="A17" s="55" t="s">
        <v>66</v>
      </c>
      <c r="B17" s="3">
        <f>'[2]主管'!B17</f>
        <v>0</v>
      </c>
      <c r="C17" s="3">
        <f>'[2]主管'!C17</f>
        <v>0</v>
      </c>
      <c r="D17" s="3">
        <f>'[2]主管'!D17</f>
        <v>0</v>
      </c>
      <c r="E17" s="3">
        <f>'[2]主管'!E17</f>
        <v>0</v>
      </c>
      <c r="F17" s="3">
        <f>'[2]主管'!F17</f>
        <v>0</v>
      </c>
      <c r="G17" s="3">
        <f>'[2]主管'!G17</f>
        <v>0</v>
      </c>
      <c r="H17" s="3">
        <f>'[2]主管'!H17</f>
        <v>0</v>
      </c>
      <c r="I17" s="3">
        <f>'[2]主管'!I17</f>
        <v>0</v>
      </c>
      <c r="J17" s="3">
        <f t="shared" si="1"/>
        <v>0</v>
      </c>
      <c r="K17" s="3">
        <f>'[2]主管'!K16</f>
        <v>0</v>
      </c>
      <c r="L17" s="3">
        <f>'[2]主管'!L16</f>
        <v>0</v>
      </c>
      <c r="M17" s="3">
        <f>'[2]主管'!M16</f>
        <v>0</v>
      </c>
      <c r="N17" s="3">
        <f>'[2]主管'!N17</f>
        <v>0</v>
      </c>
      <c r="O17" s="3">
        <f>'[2]主管'!O17</f>
        <v>0</v>
      </c>
      <c r="P17" s="3">
        <f>'[2]主管'!P17</f>
        <v>0</v>
      </c>
      <c r="Q17" s="3">
        <f>'[2]主管'!Q17</f>
        <v>0</v>
      </c>
      <c r="R17" s="3">
        <f>'[2]主管'!R17</f>
        <v>0</v>
      </c>
      <c r="S17" s="3">
        <f>'[2]主管'!S17</f>
        <v>0</v>
      </c>
      <c r="T17" s="3">
        <f>'[2]主管'!T17</f>
        <v>0</v>
      </c>
      <c r="U17" s="3">
        <f>'[2]主管'!U17</f>
        <v>0</v>
      </c>
      <c r="V17" s="3">
        <f>'[2]主管'!V17</f>
        <v>0</v>
      </c>
      <c r="W17" s="3">
        <f>'[2]主管'!W17</f>
        <v>0</v>
      </c>
      <c r="X17" s="3">
        <f>'[2]主管'!X17</f>
        <v>0</v>
      </c>
      <c r="Y17" s="3">
        <f>'[2]主管'!Y17</f>
        <v>0</v>
      </c>
      <c r="Z17" s="3">
        <f>'[2]主管'!Z17</f>
        <v>0</v>
      </c>
      <c r="AA17" s="3">
        <f t="shared" si="2"/>
        <v>0</v>
      </c>
      <c r="AB17" s="4">
        <f t="shared" si="3"/>
        <v>0</v>
      </c>
    </row>
    <row r="18" spans="1:28" ht="30" customHeight="1">
      <c r="A18" s="56" t="s">
        <v>67</v>
      </c>
      <c r="B18" s="3">
        <f>'[2]主管'!B18</f>
        <v>0</v>
      </c>
      <c r="C18" s="3">
        <f>'[2]主管'!C18</f>
        <v>0</v>
      </c>
      <c r="D18" s="3">
        <f>'[2]主管'!D18</f>
        <v>0</v>
      </c>
      <c r="E18" s="3">
        <f>'[2]主管'!E18</f>
        <v>0</v>
      </c>
      <c r="F18" s="3">
        <f>'[2]主管'!F18</f>
        <v>0</v>
      </c>
      <c r="G18" s="3">
        <f>'[2]主管'!G18</f>
        <v>0</v>
      </c>
      <c r="H18" s="3">
        <f>'[2]主管'!H18</f>
        <v>0</v>
      </c>
      <c r="I18" s="3">
        <f>'[2]主管'!I18</f>
        <v>0</v>
      </c>
      <c r="J18" s="3">
        <f t="shared" si="1"/>
        <v>0</v>
      </c>
      <c r="K18" s="3">
        <f>'[2]主管'!K17</f>
        <v>0</v>
      </c>
      <c r="L18" s="3">
        <f>'[2]主管'!L17</f>
        <v>0</v>
      </c>
      <c r="M18" s="3">
        <f>'[2]主管'!M17</f>
        <v>0</v>
      </c>
      <c r="N18" s="3">
        <f>'[2]主管'!N18</f>
        <v>0</v>
      </c>
      <c r="O18" s="3">
        <f>'[2]主管'!O18</f>
        <v>0</v>
      </c>
      <c r="P18" s="3">
        <f>'[2]主管'!P18</f>
        <v>0</v>
      </c>
      <c r="Q18" s="3">
        <f>'[2]主管'!Q18</f>
        <v>0</v>
      </c>
      <c r="R18" s="3">
        <f>'[2]主管'!R18</f>
        <v>0</v>
      </c>
      <c r="S18" s="3">
        <f>'[2]主管'!S18</f>
        <v>0</v>
      </c>
      <c r="T18" s="3">
        <f>'[2]主管'!T18</f>
        <v>0</v>
      </c>
      <c r="U18" s="3">
        <f>'[2]主管'!U18</f>
        <v>0</v>
      </c>
      <c r="V18" s="3">
        <f>'[2]主管'!V18</f>
        <v>0</v>
      </c>
      <c r="W18" s="3">
        <f>'[2]主管'!W18</f>
        <v>0</v>
      </c>
      <c r="X18" s="3">
        <f>'[2]主管'!X18</f>
        <v>0</v>
      </c>
      <c r="Y18" s="3">
        <f>'[2]主管'!Y18</f>
        <v>0</v>
      </c>
      <c r="Z18" s="3">
        <f>'[2]主管'!Z18</f>
        <v>0</v>
      </c>
      <c r="AA18" s="3">
        <f t="shared" si="2"/>
        <v>0</v>
      </c>
      <c r="AB18" s="4">
        <f t="shared" si="3"/>
        <v>0</v>
      </c>
    </row>
    <row r="19" spans="1:28" ht="30" customHeight="1">
      <c r="A19" s="56" t="s">
        <v>68</v>
      </c>
      <c r="B19" s="3">
        <f>'[2]主管'!B19</f>
        <v>0</v>
      </c>
      <c r="C19" s="3">
        <f>'[2]主管'!C19</f>
        <v>0</v>
      </c>
      <c r="D19" s="3">
        <f>'[2]主管'!D19</f>
        <v>0</v>
      </c>
      <c r="E19" s="3">
        <f>'[2]主管'!E19</f>
        <v>0</v>
      </c>
      <c r="F19" s="3">
        <f>'[2]主管'!F19</f>
        <v>0</v>
      </c>
      <c r="G19" s="3">
        <f>'[2]主管'!G19</f>
        <v>0</v>
      </c>
      <c r="H19" s="3">
        <f>'[2]主管'!H19</f>
        <v>0</v>
      </c>
      <c r="I19" s="3">
        <f>'[2]主管'!I19</f>
        <v>0</v>
      </c>
      <c r="J19" s="3">
        <f t="shared" si="1"/>
        <v>0</v>
      </c>
      <c r="K19" s="3">
        <f>'[2]主管'!K18</f>
        <v>0</v>
      </c>
      <c r="L19" s="3">
        <f>'[2]主管'!L18</f>
        <v>0</v>
      </c>
      <c r="M19" s="3">
        <f>'[2]主管'!M18</f>
        <v>0</v>
      </c>
      <c r="N19" s="3">
        <f>'[2]主管'!N19</f>
        <v>0</v>
      </c>
      <c r="O19" s="3">
        <f>'[2]主管'!O19</f>
        <v>0</v>
      </c>
      <c r="P19" s="3">
        <f>'[2]主管'!P19</f>
        <v>0</v>
      </c>
      <c r="Q19" s="3">
        <f>'[2]主管'!Q19</f>
        <v>0</v>
      </c>
      <c r="R19" s="3">
        <f>'[2]主管'!R19</f>
        <v>0</v>
      </c>
      <c r="S19" s="3">
        <f>'[2]主管'!S19</f>
        <v>0</v>
      </c>
      <c r="T19" s="3">
        <f>'[2]主管'!T19</f>
        <v>0</v>
      </c>
      <c r="U19" s="3">
        <f>'[2]主管'!U19</f>
        <v>0</v>
      </c>
      <c r="V19" s="3">
        <f>'[2]主管'!V19</f>
        <v>0</v>
      </c>
      <c r="W19" s="3">
        <f>'[2]主管'!W19</f>
        <v>0</v>
      </c>
      <c r="X19" s="3">
        <f>'[2]主管'!X19</f>
        <v>0</v>
      </c>
      <c r="Y19" s="3">
        <f>'[2]主管'!Y19</f>
        <v>0</v>
      </c>
      <c r="Z19" s="3">
        <f>'[2]主管'!Z19</f>
        <v>0</v>
      </c>
      <c r="AA19" s="3">
        <f t="shared" si="2"/>
        <v>0</v>
      </c>
      <c r="AB19" s="4">
        <f t="shared" si="3"/>
        <v>0</v>
      </c>
    </row>
    <row r="20" spans="1:28" ht="30" customHeight="1">
      <c r="A20" s="55" t="s">
        <v>69</v>
      </c>
      <c r="B20" s="3">
        <f>'[2]主管'!B20</f>
        <v>0</v>
      </c>
      <c r="C20" s="3">
        <f>'[2]主管'!C20</f>
        <v>0</v>
      </c>
      <c r="D20" s="3">
        <f>'[2]主管'!D20</f>
        <v>0</v>
      </c>
      <c r="E20" s="3">
        <f>'[2]主管'!E20</f>
        <v>0</v>
      </c>
      <c r="F20" s="3">
        <f>'[2]主管'!F20</f>
        <v>0</v>
      </c>
      <c r="G20" s="3">
        <f>'[2]主管'!G20</f>
        <v>0</v>
      </c>
      <c r="H20" s="3">
        <f>'[2]主管'!H20</f>
        <v>0</v>
      </c>
      <c r="I20" s="3">
        <f>'[2]主管'!I20</f>
        <v>0</v>
      </c>
      <c r="J20" s="3">
        <f t="shared" si="1"/>
        <v>0</v>
      </c>
      <c r="K20" s="3">
        <f>'[2]主管'!K19</f>
        <v>0</v>
      </c>
      <c r="L20" s="3">
        <f>'[2]主管'!L19</f>
        <v>0</v>
      </c>
      <c r="M20" s="3">
        <f>'[2]主管'!M19</f>
        <v>0</v>
      </c>
      <c r="N20" s="3">
        <f>'[2]主管'!N20</f>
        <v>0</v>
      </c>
      <c r="O20" s="3">
        <f>'[2]主管'!O20</f>
        <v>0</v>
      </c>
      <c r="P20" s="3">
        <f>'[2]主管'!P20</f>
        <v>0</v>
      </c>
      <c r="Q20" s="3">
        <f>'[2]主管'!Q20</f>
        <v>0</v>
      </c>
      <c r="R20" s="3">
        <f>'[2]主管'!R20</f>
        <v>0</v>
      </c>
      <c r="S20" s="3">
        <f>'[2]主管'!S20</f>
        <v>0</v>
      </c>
      <c r="T20" s="3">
        <f>'[2]主管'!T20</f>
        <v>0</v>
      </c>
      <c r="U20" s="3">
        <f>'[2]主管'!U20</f>
        <v>0</v>
      </c>
      <c r="V20" s="3">
        <f>'[2]主管'!V20</f>
        <v>0</v>
      </c>
      <c r="W20" s="3">
        <f>'[2]主管'!W20</f>
        <v>0</v>
      </c>
      <c r="X20" s="3">
        <f>'[2]主管'!X20</f>
        <v>0</v>
      </c>
      <c r="Y20" s="3">
        <f>'[2]主管'!Y20</f>
        <v>0</v>
      </c>
      <c r="Z20" s="3">
        <f>'[2]主管'!Z20</f>
        <v>0</v>
      </c>
      <c r="AA20" s="3">
        <f t="shared" si="2"/>
        <v>0</v>
      </c>
      <c r="AB20" s="4">
        <f t="shared" si="3"/>
        <v>0</v>
      </c>
    </row>
    <row r="21" spans="1:28" ht="30" customHeight="1">
      <c r="A21" s="56" t="s">
        <v>70</v>
      </c>
      <c r="B21" s="3">
        <f>'[2]主管'!B21</f>
        <v>0</v>
      </c>
      <c r="C21" s="3">
        <f>'[2]主管'!C21</f>
        <v>0</v>
      </c>
      <c r="D21" s="3">
        <f>'[2]主管'!D21</f>
        <v>0</v>
      </c>
      <c r="E21" s="3">
        <f>'[2]主管'!E21</f>
        <v>0</v>
      </c>
      <c r="F21" s="3">
        <f>'[2]主管'!F21</f>
        <v>0</v>
      </c>
      <c r="G21" s="3">
        <f>'[2]主管'!G21</f>
        <v>0</v>
      </c>
      <c r="H21" s="3">
        <f>'[2]主管'!H21</f>
        <v>0</v>
      </c>
      <c r="I21" s="3">
        <f>'[2]主管'!I21</f>
        <v>0</v>
      </c>
      <c r="J21" s="3">
        <f t="shared" si="1"/>
        <v>0</v>
      </c>
      <c r="K21" s="3">
        <f>'[2]主管'!K20</f>
        <v>0</v>
      </c>
      <c r="L21" s="3">
        <f>'[2]主管'!L20</f>
        <v>0</v>
      </c>
      <c r="M21" s="3">
        <f>'[2]主管'!M20</f>
        <v>0</v>
      </c>
      <c r="N21" s="3">
        <f>'[2]主管'!N21</f>
        <v>0</v>
      </c>
      <c r="O21" s="3">
        <f>'[2]主管'!O21</f>
        <v>0</v>
      </c>
      <c r="P21" s="3">
        <f>'[2]主管'!P21</f>
        <v>0</v>
      </c>
      <c r="Q21" s="3">
        <f>'[2]主管'!Q21</f>
        <v>0</v>
      </c>
      <c r="R21" s="3">
        <f>'[2]主管'!R21</f>
        <v>0</v>
      </c>
      <c r="S21" s="3">
        <f>'[2]主管'!S21</f>
        <v>0</v>
      </c>
      <c r="T21" s="3">
        <f>'[2]主管'!T21</f>
        <v>0</v>
      </c>
      <c r="U21" s="3">
        <f>'[2]主管'!U21</f>
        <v>0</v>
      </c>
      <c r="V21" s="3">
        <f>'[2]主管'!V21</f>
        <v>0</v>
      </c>
      <c r="W21" s="3">
        <f>'[2]主管'!W21</f>
        <v>0</v>
      </c>
      <c r="X21" s="3">
        <f>'[2]主管'!X21</f>
        <v>0</v>
      </c>
      <c r="Y21" s="3">
        <f>'[2]主管'!Y21</f>
        <v>0</v>
      </c>
      <c r="Z21" s="3">
        <f>'[2]主管'!Z21</f>
        <v>0</v>
      </c>
      <c r="AA21" s="3">
        <f t="shared" si="2"/>
        <v>0</v>
      </c>
      <c r="AB21" s="4">
        <f t="shared" si="3"/>
        <v>0</v>
      </c>
    </row>
    <row r="22" spans="1:28" ht="30" customHeight="1">
      <c r="A22" s="55" t="s">
        <v>71</v>
      </c>
      <c r="B22" s="3">
        <f>'[2]主管'!B22</f>
        <v>0</v>
      </c>
      <c r="C22" s="3">
        <f>'[2]主管'!C22</f>
        <v>0</v>
      </c>
      <c r="D22" s="3">
        <f>'[2]主管'!D22</f>
        <v>0</v>
      </c>
      <c r="E22" s="3">
        <f>'[2]主管'!E22</f>
        <v>0</v>
      </c>
      <c r="F22" s="3">
        <f>'[2]主管'!F22</f>
        <v>0</v>
      </c>
      <c r="G22" s="3">
        <f>'[2]主管'!G22</f>
        <v>0</v>
      </c>
      <c r="H22" s="3">
        <f>'[2]主管'!H22</f>
        <v>0</v>
      </c>
      <c r="I22" s="3">
        <f>'[2]主管'!I22</f>
        <v>0</v>
      </c>
      <c r="J22" s="3">
        <f t="shared" si="1"/>
        <v>0</v>
      </c>
      <c r="K22" s="3">
        <f>'[2]主管'!K21</f>
        <v>0</v>
      </c>
      <c r="L22" s="3">
        <f>'[2]主管'!L21</f>
        <v>0</v>
      </c>
      <c r="M22" s="3">
        <f>'[2]主管'!M21</f>
        <v>0</v>
      </c>
      <c r="N22" s="3">
        <f>'[2]主管'!N22</f>
        <v>0</v>
      </c>
      <c r="O22" s="3">
        <f>'[2]主管'!O22</f>
        <v>0</v>
      </c>
      <c r="P22" s="3">
        <f>'[2]主管'!P22</f>
        <v>0</v>
      </c>
      <c r="Q22" s="3">
        <f>'[2]主管'!Q22</f>
        <v>0</v>
      </c>
      <c r="R22" s="3">
        <f>'[2]主管'!R22</f>
        <v>0</v>
      </c>
      <c r="S22" s="3">
        <f>'[2]主管'!S22</f>
        <v>0</v>
      </c>
      <c r="T22" s="3">
        <f>'[2]主管'!T22</f>
        <v>0</v>
      </c>
      <c r="U22" s="3">
        <f>'[2]主管'!U22</f>
        <v>0</v>
      </c>
      <c r="V22" s="3">
        <f>'[2]主管'!V22</f>
        <v>0</v>
      </c>
      <c r="W22" s="3">
        <f>'[2]主管'!W22</f>
        <v>0</v>
      </c>
      <c r="X22" s="3">
        <f>'[2]主管'!X22</f>
        <v>0</v>
      </c>
      <c r="Y22" s="3">
        <f>'[2]主管'!Y22</f>
        <v>0</v>
      </c>
      <c r="Z22" s="3">
        <f>'[2]主管'!Z22</f>
        <v>0</v>
      </c>
      <c r="AA22" s="3">
        <f t="shared" si="2"/>
        <v>0</v>
      </c>
      <c r="AB22" s="4">
        <f t="shared" si="3"/>
        <v>0</v>
      </c>
    </row>
    <row r="23" spans="1:28" ht="30" customHeight="1">
      <c r="A23" s="55" t="s">
        <v>72</v>
      </c>
      <c r="B23" s="3">
        <f>'[2]主管'!B23</f>
        <v>0</v>
      </c>
      <c r="C23" s="3">
        <f>'[2]主管'!C23</f>
        <v>0</v>
      </c>
      <c r="D23" s="3">
        <f>'[2]主管'!D23</f>
        <v>0</v>
      </c>
      <c r="E23" s="3">
        <f>'[2]主管'!E23</f>
        <v>0</v>
      </c>
      <c r="F23" s="3">
        <f>'[2]主管'!F23</f>
        <v>0</v>
      </c>
      <c r="G23" s="3">
        <f>'[2]主管'!G23</f>
        <v>0</v>
      </c>
      <c r="H23" s="3">
        <f>'[2]主管'!H23</f>
        <v>0</v>
      </c>
      <c r="I23" s="3">
        <f>'[2]主管'!I23</f>
        <v>0</v>
      </c>
      <c r="J23" s="3">
        <f t="shared" si="1"/>
        <v>0</v>
      </c>
      <c r="K23" s="3">
        <f>'[2]主管'!K22</f>
        <v>0</v>
      </c>
      <c r="L23" s="3">
        <f>'[2]主管'!L22</f>
        <v>0</v>
      </c>
      <c r="M23" s="3">
        <f>'[2]主管'!M22</f>
        <v>0</v>
      </c>
      <c r="N23" s="3">
        <f>'[2]主管'!N23</f>
        <v>0</v>
      </c>
      <c r="O23" s="3">
        <f>'[2]主管'!O23</f>
        <v>0</v>
      </c>
      <c r="P23" s="3">
        <f>'[2]主管'!P23</f>
        <v>0</v>
      </c>
      <c r="Q23" s="3">
        <f>'[2]主管'!Q23</f>
        <v>0</v>
      </c>
      <c r="R23" s="3">
        <f>'[2]主管'!R23</f>
        <v>0</v>
      </c>
      <c r="S23" s="3">
        <f>'[2]主管'!S23</f>
        <v>0</v>
      </c>
      <c r="T23" s="3">
        <f>'[2]主管'!T23</f>
        <v>0</v>
      </c>
      <c r="U23" s="3">
        <f>'[2]主管'!U23</f>
        <v>0</v>
      </c>
      <c r="V23" s="3">
        <f>'[2]主管'!V23</f>
        <v>0</v>
      </c>
      <c r="W23" s="3">
        <f>'[2]主管'!W23</f>
        <v>0</v>
      </c>
      <c r="X23" s="3">
        <f>'[2]主管'!X23</f>
        <v>0</v>
      </c>
      <c r="Y23" s="3">
        <f>'[2]主管'!Y23</f>
        <v>0</v>
      </c>
      <c r="Z23" s="3">
        <f>'[2]主管'!Z23</f>
        <v>0</v>
      </c>
      <c r="AA23" s="3">
        <f t="shared" si="2"/>
        <v>0</v>
      </c>
      <c r="AB23" s="4">
        <f t="shared" si="3"/>
        <v>0</v>
      </c>
    </row>
    <row r="24" spans="1:28" ht="30" customHeight="1">
      <c r="A24" s="66" t="s">
        <v>185</v>
      </c>
      <c r="B24" s="3">
        <f>'[2]主管'!B24</f>
        <v>0</v>
      </c>
      <c r="C24" s="3">
        <f>'[2]主管'!C24</f>
        <v>0</v>
      </c>
      <c r="D24" s="3">
        <f>'[2]主管'!D24</f>
        <v>0</v>
      </c>
      <c r="E24" s="3">
        <f>'[2]主管'!E24</f>
        <v>0</v>
      </c>
      <c r="F24" s="3">
        <f>'[2]主管'!F24</f>
        <v>0</v>
      </c>
      <c r="G24" s="3">
        <f>'[2]主管'!G24</f>
        <v>0</v>
      </c>
      <c r="H24" s="3">
        <f>'[2]主管'!H24</f>
        <v>0</v>
      </c>
      <c r="I24" s="3">
        <f>'[2]主管'!I24</f>
        <v>0</v>
      </c>
      <c r="J24" s="3">
        <f>SUM(B24:I24)</f>
        <v>0</v>
      </c>
      <c r="K24" s="3">
        <f>'[2]主管'!K22</f>
        <v>0</v>
      </c>
      <c r="L24" s="3">
        <f>'[2]主管'!L22</f>
        <v>0</v>
      </c>
      <c r="M24" s="3">
        <f>'[2]主管'!M22</f>
        <v>0</v>
      </c>
      <c r="N24" s="3">
        <f>'[2]主管'!N24</f>
        <v>0</v>
      </c>
      <c r="O24" s="3">
        <f>'[2]主管'!O24</f>
        <v>0</v>
      </c>
      <c r="P24" s="3">
        <f>'[2]主管'!P24</f>
        <v>0</v>
      </c>
      <c r="Q24" s="3">
        <f>'[2]主管'!Q24</f>
        <v>0</v>
      </c>
      <c r="R24" s="3">
        <f>'[2]主管'!R24</f>
        <v>0</v>
      </c>
      <c r="S24" s="3">
        <f>'[2]主管'!S24</f>
        <v>0</v>
      </c>
      <c r="T24" s="3">
        <f>'[2]主管'!T24</f>
        <v>0</v>
      </c>
      <c r="U24" s="3">
        <f>'[2]主管'!U24</f>
        <v>0</v>
      </c>
      <c r="V24" s="3">
        <f>'[2]主管'!V24</f>
        <v>0</v>
      </c>
      <c r="W24" s="3">
        <f>'[2]主管'!W24</f>
        <v>0</v>
      </c>
      <c r="X24" s="3">
        <f>'[2]主管'!X24</f>
        <v>0</v>
      </c>
      <c r="Y24" s="3">
        <f>'[2]主管'!Y24</f>
        <v>0</v>
      </c>
      <c r="Z24" s="3">
        <f>'[2]主管'!Z24</f>
        <v>0</v>
      </c>
      <c r="AA24" s="3">
        <f>SUM(K24:Z24)</f>
        <v>0</v>
      </c>
      <c r="AB24" s="4">
        <f t="shared" si="3"/>
        <v>0</v>
      </c>
    </row>
    <row r="25" spans="1:28" ht="30" customHeight="1">
      <c r="A25" s="56" t="s">
        <v>133</v>
      </c>
      <c r="B25" s="3">
        <f>'[2]主管'!B25</f>
        <v>16565</v>
      </c>
      <c r="C25" s="3">
        <f>'[2]主管'!C25</f>
        <v>0</v>
      </c>
      <c r="D25" s="3">
        <f>'[2]主管'!D25</f>
        <v>0</v>
      </c>
      <c r="E25" s="3">
        <f>'[2]主管'!E25</f>
        <v>0</v>
      </c>
      <c r="F25" s="3">
        <f>'[2]主管'!F25</f>
        <v>0</v>
      </c>
      <c r="G25" s="3">
        <f>'[2]主管'!G25</f>
        <v>0</v>
      </c>
      <c r="H25" s="3">
        <f>'[2]主管'!H25</f>
        <v>0</v>
      </c>
      <c r="I25" s="3">
        <f>'[2]主管'!I25</f>
        <v>0</v>
      </c>
      <c r="J25" s="3">
        <f t="shared" si="1"/>
        <v>16565</v>
      </c>
      <c r="K25" s="3">
        <f>'[2]主管'!K23</f>
        <v>0</v>
      </c>
      <c r="L25" s="3">
        <f>'[2]主管'!L23</f>
        <v>0</v>
      </c>
      <c r="M25" s="3">
        <f>'[2]主管'!M23</f>
        <v>0</v>
      </c>
      <c r="N25" s="3">
        <f>'[2]主管'!N25</f>
        <v>0</v>
      </c>
      <c r="O25" s="3">
        <f>'[2]主管'!O25</f>
        <v>0</v>
      </c>
      <c r="P25" s="3">
        <f>'[2]主管'!P25</f>
        <v>0</v>
      </c>
      <c r="Q25" s="3">
        <f>'[2]主管'!Q25</f>
        <v>0</v>
      </c>
      <c r="R25" s="3">
        <f>'[2]主管'!R25</f>
        <v>0</v>
      </c>
      <c r="S25" s="3">
        <f>'[2]主管'!S25</f>
        <v>0</v>
      </c>
      <c r="T25" s="3">
        <f>'[2]主管'!T25</f>
        <v>0</v>
      </c>
      <c r="U25" s="3">
        <f>'[2]主管'!U25</f>
        <v>0</v>
      </c>
      <c r="V25" s="3">
        <f>'[2]主管'!V25</f>
        <v>0</v>
      </c>
      <c r="W25" s="3">
        <f>'[2]主管'!W25</f>
        <v>0</v>
      </c>
      <c r="X25" s="3">
        <f>'[2]主管'!X25</f>
        <v>0</v>
      </c>
      <c r="Y25" s="3">
        <f>'[2]主管'!Y25</f>
        <v>0</v>
      </c>
      <c r="Z25" s="3">
        <f>'[2]主管'!Z25</f>
        <v>0</v>
      </c>
      <c r="AA25" s="3">
        <f t="shared" si="2"/>
        <v>0</v>
      </c>
      <c r="AB25" s="4">
        <f t="shared" si="3"/>
        <v>16565</v>
      </c>
    </row>
    <row r="26" spans="1:27" ht="48" customHeight="1">
      <c r="A26" s="5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8" ht="30" customHeight="1">
      <c r="A27" s="5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85"/>
    </row>
    <row r="28" ht="15.75">
      <c r="G28" s="83" t="s">
        <v>17</v>
      </c>
    </row>
  </sheetData>
  <mergeCells count="1">
    <mergeCell ref="X6:X9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8"/>
  <sheetViews>
    <sheetView zoomScale="75" zoomScaleNormal="75" workbookViewId="0" topLeftCell="A5">
      <pane xSplit="1" ySplit="6" topLeftCell="B11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ColWidth="9.00390625" defaultRowHeight="15.75"/>
  <cols>
    <col min="1" max="1" width="27.375" style="0" customWidth="1"/>
    <col min="2" max="2" width="10.125" style="83" customWidth="1"/>
    <col min="3" max="3" width="10.00390625" style="83" customWidth="1"/>
    <col min="4" max="4" width="8.75390625" style="83" customWidth="1"/>
    <col min="5" max="6" width="9.00390625" style="83" customWidth="1"/>
    <col min="7" max="7" width="11.00390625" style="83" customWidth="1"/>
    <col min="8" max="8" width="11.50390625" style="83" customWidth="1"/>
    <col min="9" max="9" width="9.00390625" style="83" customWidth="1"/>
    <col min="10" max="10" width="11.50390625" style="83" customWidth="1"/>
    <col min="11" max="12" width="9.875" style="83" customWidth="1"/>
    <col min="13" max="13" width="10.125" style="83" customWidth="1"/>
    <col min="14" max="14" width="11.00390625" style="83" customWidth="1"/>
    <col min="15" max="15" width="11.875" style="83" customWidth="1"/>
    <col min="16" max="16" width="10.625" style="83" customWidth="1"/>
    <col min="17" max="17" width="11.25390625" style="83" customWidth="1"/>
    <col min="18" max="18" width="11.50390625" style="83" customWidth="1"/>
    <col min="19" max="26" width="9.00390625" style="83" customWidth="1"/>
    <col min="27" max="27" width="10.375" style="83" customWidth="1"/>
    <col min="28" max="28" width="12.25390625" style="83" customWidth="1"/>
  </cols>
  <sheetData>
    <row r="1" spans="5:28" ht="21">
      <c r="E1" s="2"/>
      <c r="F1" s="15" t="s">
        <v>95</v>
      </c>
      <c r="G1" s="16" t="s">
        <v>96</v>
      </c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15" t="s">
        <v>95</v>
      </c>
      <c r="T1" s="16" t="s">
        <v>96</v>
      </c>
      <c r="U1" s="68"/>
      <c r="V1" s="68"/>
      <c r="W1" s="68"/>
      <c r="X1" s="68"/>
      <c r="Y1" s="68"/>
      <c r="Z1" s="68"/>
      <c r="AA1" s="68"/>
      <c r="AB1" s="68"/>
    </row>
    <row r="2" spans="2:28" ht="27.75">
      <c r="B2" s="68"/>
      <c r="C2" s="68"/>
      <c r="D2" s="1"/>
      <c r="E2" s="1"/>
      <c r="F2" s="17" t="s">
        <v>97</v>
      </c>
      <c r="G2" s="18" t="s">
        <v>98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17" t="s">
        <v>97</v>
      </c>
      <c r="T2" s="18" t="s">
        <v>98</v>
      </c>
      <c r="U2" s="68"/>
      <c r="V2" s="68"/>
      <c r="W2" s="68"/>
      <c r="X2" s="68"/>
      <c r="Y2" s="68"/>
      <c r="Z2" s="68"/>
      <c r="AA2" s="68"/>
      <c r="AB2" s="68"/>
    </row>
    <row r="3" spans="2:28" ht="16.5">
      <c r="B3" s="68"/>
      <c r="C3" s="68"/>
      <c r="D3" s="68"/>
      <c r="E3" s="68"/>
      <c r="F3" s="19" t="s">
        <v>126</v>
      </c>
      <c r="G3" s="35" t="s">
        <v>127</v>
      </c>
      <c r="H3" s="68"/>
      <c r="I3" s="68"/>
      <c r="J3" s="68"/>
      <c r="K3" s="68"/>
      <c r="L3" s="68"/>
      <c r="M3" s="20" t="s">
        <v>0</v>
      </c>
      <c r="N3" s="68"/>
      <c r="O3" s="68"/>
      <c r="P3" s="68"/>
      <c r="Q3" s="68"/>
      <c r="R3" s="68"/>
      <c r="S3" s="19" t="s">
        <v>126</v>
      </c>
      <c r="T3" s="35" t="s">
        <v>127</v>
      </c>
      <c r="U3" s="68"/>
      <c r="V3" s="68"/>
      <c r="W3" s="68"/>
      <c r="X3" s="68"/>
      <c r="Y3" s="68"/>
      <c r="Z3" s="68"/>
      <c r="AA3" s="68"/>
      <c r="AB3" s="20" t="s">
        <v>0</v>
      </c>
    </row>
    <row r="4" spans="1:28" ht="30" customHeight="1">
      <c r="A4" s="21" t="s">
        <v>1</v>
      </c>
      <c r="B4" s="22" t="s">
        <v>186</v>
      </c>
      <c r="C4" s="69"/>
      <c r="D4" s="69"/>
      <c r="E4" s="69"/>
      <c r="F4" s="69"/>
      <c r="G4" s="69"/>
      <c r="H4" s="69"/>
      <c r="I4" s="69"/>
      <c r="J4" s="70"/>
      <c r="K4" s="23" t="s">
        <v>187</v>
      </c>
      <c r="L4" s="71"/>
      <c r="M4" s="71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3"/>
      <c r="AB4" s="74"/>
    </row>
    <row r="5" spans="1:28" s="9" customFormat="1" ht="25.5" customHeight="1">
      <c r="A5" s="24" t="s">
        <v>3</v>
      </c>
      <c r="B5" s="25" t="s">
        <v>4</v>
      </c>
      <c r="C5" s="25" t="s">
        <v>5</v>
      </c>
      <c r="D5" s="25" t="s">
        <v>6</v>
      </c>
      <c r="E5" s="25" t="s">
        <v>7</v>
      </c>
      <c r="F5" s="26" t="s">
        <v>188</v>
      </c>
      <c r="G5" s="75"/>
      <c r="H5" s="75"/>
      <c r="I5" s="76"/>
      <c r="J5" s="44" t="s">
        <v>112</v>
      </c>
      <c r="K5" s="26" t="s">
        <v>189</v>
      </c>
      <c r="L5" s="75"/>
      <c r="M5" s="76"/>
      <c r="N5" s="26" t="s">
        <v>190</v>
      </c>
      <c r="O5" s="75"/>
      <c r="P5" s="75"/>
      <c r="Q5" s="76"/>
      <c r="R5" s="25" t="s">
        <v>11</v>
      </c>
      <c r="S5" s="25" t="s">
        <v>12</v>
      </c>
      <c r="T5" s="26" t="s">
        <v>191</v>
      </c>
      <c r="U5" s="75"/>
      <c r="V5" s="75"/>
      <c r="W5" s="75"/>
      <c r="X5" s="75"/>
      <c r="Y5" s="75"/>
      <c r="Z5" s="77"/>
      <c r="AA5" s="25" t="s">
        <v>13</v>
      </c>
      <c r="AB5" s="27" t="s">
        <v>14</v>
      </c>
    </row>
    <row r="6" spans="1:28" ht="16.5">
      <c r="A6" s="10"/>
      <c r="B6" s="80"/>
      <c r="C6" s="28" t="s">
        <v>15</v>
      </c>
      <c r="D6" s="28" t="s">
        <v>16</v>
      </c>
      <c r="E6" s="28" t="s">
        <v>192</v>
      </c>
      <c r="F6" s="80"/>
      <c r="G6" s="80"/>
      <c r="H6" s="80"/>
      <c r="I6" s="80"/>
      <c r="J6" s="28" t="s">
        <v>193</v>
      </c>
      <c r="K6" s="80"/>
      <c r="L6" s="43" t="s">
        <v>194</v>
      </c>
      <c r="M6" s="43" t="s">
        <v>195</v>
      </c>
      <c r="N6" s="80" t="s">
        <v>17</v>
      </c>
      <c r="O6" s="80"/>
      <c r="P6" s="80"/>
      <c r="Q6" s="80"/>
      <c r="R6" s="28" t="s">
        <v>18</v>
      </c>
      <c r="S6" s="28" t="s">
        <v>196</v>
      </c>
      <c r="T6" s="80" t="s">
        <v>17</v>
      </c>
      <c r="U6" s="80" t="s">
        <v>17</v>
      </c>
      <c r="V6" s="80"/>
      <c r="W6" s="80"/>
      <c r="X6" s="107" t="s">
        <v>183</v>
      </c>
      <c r="Y6" s="80"/>
      <c r="Z6" s="80"/>
      <c r="AA6" s="28" t="s">
        <v>197</v>
      </c>
      <c r="AB6" s="81"/>
    </row>
    <row r="7" spans="1:28" ht="16.5">
      <c r="A7" s="10"/>
      <c r="B7" s="28" t="s">
        <v>19</v>
      </c>
      <c r="C7" s="28" t="s">
        <v>198</v>
      </c>
      <c r="D7" s="80"/>
      <c r="E7" s="80" t="s">
        <v>17</v>
      </c>
      <c r="F7" s="28" t="s">
        <v>20</v>
      </c>
      <c r="G7" s="28" t="s">
        <v>21</v>
      </c>
      <c r="H7" s="28" t="s">
        <v>20</v>
      </c>
      <c r="I7" s="28" t="s">
        <v>20</v>
      </c>
      <c r="J7" s="80"/>
      <c r="K7" s="28" t="s">
        <v>22</v>
      </c>
      <c r="L7" s="28" t="s">
        <v>199</v>
      </c>
      <c r="M7" s="28" t="s">
        <v>23</v>
      </c>
      <c r="N7" s="28" t="s">
        <v>20</v>
      </c>
      <c r="O7" s="28" t="s">
        <v>21</v>
      </c>
      <c r="P7" s="28" t="s">
        <v>20</v>
      </c>
      <c r="Q7" s="28" t="s">
        <v>20</v>
      </c>
      <c r="R7" s="80"/>
      <c r="S7" s="80"/>
      <c r="T7" s="28" t="s">
        <v>24</v>
      </c>
      <c r="U7" s="28" t="s">
        <v>25</v>
      </c>
      <c r="V7" s="28" t="s">
        <v>26</v>
      </c>
      <c r="W7" s="28" t="s">
        <v>27</v>
      </c>
      <c r="X7" s="108"/>
      <c r="Y7" s="28" t="s">
        <v>28</v>
      </c>
      <c r="Z7" s="28" t="s">
        <v>29</v>
      </c>
      <c r="AA7" s="80"/>
      <c r="AB7" s="81"/>
    </row>
    <row r="8" spans="1:28" ht="16.5">
      <c r="A8" s="29" t="s">
        <v>30</v>
      </c>
      <c r="B8" s="80"/>
      <c r="C8" s="28" t="s">
        <v>31</v>
      </c>
      <c r="D8" s="28" t="s">
        <v>32</v>
      </c>
      <c r="E8" s="28" t="s">
        <v>200</v>
      </c>
      <c r="F8" s="28" t="s">
        <v>33</v>
      </c>
      <c r="G8" s="28" t="s">
        <v>34</v>
      </c>
      <c r="H8" s="28" t="s">
        <v>35</v>
      </c>
      <c r="I8" s="28" t="s">
        <v>36</v>
      </c>
      <c r="J8" s="28" t="s">
        <v>201</v>
      </c>
      <c r="K8" s="80"/>
      <c r="L8" s="28" t="s">
        <v>202</v>
      </c>
      <c r="M8" s="80"/>
      <c r="N8" s="28" t="s">
        <v>33</v>
      </c>
      <c r="O8" s="28" t="s">
        <v>34</v>
      </c>
      <c r="P8" s="28" t="s">
        <v>35</v>
      </c>
      <c r="Q8" s="28" t="s">
        <v>36</v>
      </c>
      <c r="R8" s="28" t="s">
        <v>37</v>
      </c>
      <c r="S8" s="28" t="s">
        <v>203</v>
      </c>
      <c r="T8" s="80"/>
      <c r="U8" s="28" t="s">
        <v>24</v>
      </c>
      <c r="V8" s="80"/>
      <c r="W8" s="80"/>
      <c r="X8" s="108"/>
      <c r="Y8" s="28" t="s">
        <v>38</v>
      </c>
      <c r="Z8" s="80"/>
      <c r="AA8" s="28" t="s">
        <v>201</v>
      </c>
      <c r="AB8" s="30" t="s">
        <v>39</v>
      </c>
    </row>
    <row r="9" spans="1:28" ht="16.5">
      <c r="A9" s="31" t="s">
        <v>3</v>
      </c>
      <c r="B9" s="32" t="s">
        <v>40</v>
      </c>
      <c r="C9" s="32" t="s">
        <v>41</v>
      </c>
      <c r="D9" s="32" t="s">
        <v>42</v>
      </c>
      <c r="E9" s="32" t="s">
        <v>43</v>
      </c>
      <c r="F9" s="32" t="s">
        <v>44</v>
      </c>
      <c r="G9" s="32" t="s">
        <v>45</v>
      </c>
      <c r="H9" s="32" t="s">
        <v>46</v>
      </c>
      <c r="I9" s="32" t="s">
        <v>47</v>
      </c>
      <c r="J9" s="32" t="s">
        <v>48</v>
      </c>
      <c r="K9" s="32" t="s">
        <v>49</v>
      </c>
      <c r="L9" s="32" t="s">
        <v>204</v>
      </c>
      <c r="M9" s="32" t="s">
        <v>51</v>
      </c>
      <c r="N9" s="32" t="s">
        <v>44</v>
      </c>
      <c r="O9" s="32" t="s">
        <v>205</v>
      </c>
      <c r="P9" s="32" t="s">
        <v>46</v>
      </c>
      <c r="Q9" s="32" t="s">
        <v>47</v>
      </c>
      <c r="R9" s="32" t="s">
        <v>52</v>
      </c>
      <c r="S9" s="32" t="s">
        <v>53</v>
      </c>
      <c r="T9" s="32" t="s">
        <v>54</v>
      </c>
      <c r="U9" s="32" t="s">
        <v>54</v>
      </c>
      <c r="V9" s="32" t="s">
        <v>55</v>
      </c>
      <c r="W9" s="32" t="s">
        <v>56</v>
      </c>
      <c r="X9" s="109"/>
      <c r="Y9" s="32" t="s">
        <v>57</v>
      </c>
      <c r="Z9" s="32" t="s">
        <v>58</v>
      </c>
      <c r="AA9" s="32" t="s">
        <v>48</v>
      </c>
      <c r="AB9" s="82"/>
    </row>
    <row r="10" spans="1:28" ht="30" customHeight="1">
      <c r="A10" s="10" t="s">
        <v>59</v>
      </c>
      <c r="B10" s="3">
        <f>SUM(B11:B25)</f>
        <v>0</v>
      </c>
      <c r="C10" s="3">
        <f aca="true" t="shared" si="0" ref="C10:Q10">SUM(C11:C25)</f>
        <v>0</v>
      </c>
      <c r="D10" s="3">
        <f t="shared" si="0"/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3">
        <f t="shared" si="0"/>
        <v>0</v>
      </c>
      <c r="Q10" s="3">
        <f t="shared" si="0"/>
        <v>0</v>
      </c>
      <c r="R10" s="3">
        <f aca="true" t="shared" si="1" ref="R10:AB10">SUM(R11:R25)</f>
        <v>0</v>
      </c>
      <c r="S10" s="3">
        <f t="shared" si="1"/>
        <v>0</v>
      </c>
      <c r="T10" s="3">
        <f t="shared" si="1"/>
        <v>0</v>
      </c>
      <c r="U10" s="3">
        <f t="shared" si="1"/>
        <v>0</v>
      </c>
      <c r="V10" s="3">
        <f t="shared" si="1"/>
        <v>0</v>
      </c>
      <c r="W10" s="3">
        <f t="shared" si="1"/>
        <v>0</v>
      </c>
      <c r="X10" s="3">
        <f>SUM(X11:X25)</f>
        <v>0</v>
      </c>
      <c r="Y10" s="3">
        <f t="shared" si="1"/>
        <v>0</v>
      </c>
      <c r="Z10" s="3">
        <f t="shared" si="1"/>
        <v>0</v>
      </c>
      <c r="AA10" s="3">
        <f t="shared" si="1"/>
        <v>0</v>
      </c>
      <c r="AB10" s="5">
        <f t="shared" si="1"/>
        <v>0</v>
      </c>
    </row>
    <row r="11" spans="1:29" ht="30" customHeight="1">
      <c r="A11" s="10" t="s">
        <v>60</v>
      </c>
      <c r="B11" s="3"/>
      <c r="C11" s="3"/>
      <c r="D11" s="3"/>
      <c r="E11" s="3"/>
      <c r="F11" s="3"/>
      <c r="G11" s="3"/>
      <c r="H11" s="3"/>
      <c r="I11" s="3"/>
      <c r="J11" s="3">
        <f aca="true" t="shared" si="2" ref="J11:J25">SUM(B11:I11)</f>
        <v>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>
        <f>SUM(K11:Z11)</f>
        <v>0</v>
      </c>
      <c r="AB11" s="4">
        <f aca="true" t="shared" si="3" ref="AB11:AB25">SUM(J11,AA11)</f>
        <v>0</v>
      </c>
      <c r="AC11" s="54"/>
    </row>
    <row r="12" spans="1:29" ht="30" customHeight="1">
      <c r="A12" s="12" t="s">
        <v>61</v>
      </c>
      <c r="B12" s="3"/>
      <c r="C12" s="3"/>
      <c r="D12" s="3"/>
      <c r="E12" s="3"/>
      <c r="F12" s="3"/>
      <c r="G12" s="3"/>
      <c r="H12" s="3"/>
      <c r="I12" s="3"/>
      <c r="J12" s="3">
        <f t="shared" si="2"/>
        <v>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aca="true" t="shared" si="4" ref="AA12:AA25">SUM(K12:Z12)</f>
        <v>0</v>
      </c>
      <c r="AB12" s="4">
        <f t="shared" si="3"/>
        <v>0</v>
      </c>
      <c r="AC12" s="54"/>
    </row>
    <row r="13" spans="1:29" ht="30" customHeight="1">
      <c r="A13" s="10" t="s">
        <v>62</v>
      </c>
      <c r="B13" s="3"/>
      <c r="C13" s="3"/>
      <c r="D13" s="3"/>
      <c r="E13" s="3"/>
      <c r="F13" s="3"/>
      <c r="G13" s="3"/>
      <c r="H13" s="3"/>
      <c r="I13" s="3"/>
      <c r="J13" s="3">
        <f t="shared" si="2"/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 t="shared" si="4"/>
        <v>0</v>
      </c>
      <c r="AB13" s="4">
        <f t="shared" si="3"/>
        <v>0</v>
      </c>
      <c r="AC13" s="54"/>
    </row>
    <row r="14" spans="1:29" ht="30" customHeight="1">
      <c r="A14" s="10" t="s">
        <v>63</v>
      </c>
      <c r="B14" s="3"/>
      <c r="C14" s="3"/>
      <c r="D14" s="3"/>
      <c r="E14" s="3"/>
      <c r="F14" s="3"/>
      <c r="G14" s="3"/>
      <c r="H14" s="3"/>
      <c r="I14" s="3"/>
      <c r="J14" s="3">
        <f t="shared" si="2"/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 t="shared" si="4"/>
        <v>0</v>
      </c>
      <c r="AB14" s="4">
        <f t="shared" si="3"/>
        <v>0</v>
      </c>
      <c r="AC14" s="54"/>
    </row>
    <row r="15" spans="1:29" ht="30" customHeight="1">
      <c r="A15" s="10" t="s">
        <v>64</v>
      </c>
      <c r="B15" s="3"/>
      <c r="C15" s="3"/>
      <c r="D15" s="3"/>
      <c r="E15" s="3"/>
      <c r="F15" s="3"/>
      <c r="G15" s="3"/>
      <c r="H15" s="3"/>
      <c r="I15" s="3"/>
      <c r="J15" s="3">
        <f t="shared" si="2"/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>
        <f t="shared" si="4"/>
        <v>0</v>
      </c>
      <c r="AB15" s="4">
        <f t="shared" si="3"/>
        <v>0</v>
      </c>
      <c r="AC15" s="54"/>
    </row>
    <row r="16" spans="1:29" ht="30" customHeight="1">
      <c r="A16" s="10" t="s">
        <v>65</v>
      </c>
      <c r="B16" s="3"/>
      <c r="C16" s="3"/>
      <c r="D16" s="3"/>
      <c r="E16" s="3"/>
      <c r="F16" s="3"/>
      <c r="G16" s="3"/>
      <c r="H16" s="3"/>
      <c r="I16" s="3"/>
      <c r="J16" s="3">
        <f t="shared" si="2"/>
        <v>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>
        <f t="shared" si="4"/>
        <v>0</v>
      </c>
      <c r="AB16" s="4">
        <f t="shared" si="3"/>
        <v>0</v>
      </c>
      <c r="AC16" s="54"/>
    </row>
    <row r="17" spans="1:29" ht="30" customHeight="1">
      <c r="A17" s="10" t="s">
        <v>66</v>
      </c>
      <c r="B17" s="3"/>
      <c r="C17" s="3"/>
      <c r="D17" s="3"/>
      <c r="E17" s="3"/>
      <c r="F17" s="3"/>
      <c r="G17" s="3"/>
      <c r="H17" s="3"/>
      <c r="I17" s="3"/>
      <c r="J17" s="3">
        <f t="shared" si="2"/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>
        <f t="shared" si="4"/>
        <v>0</v>
      </c>
      <c r="AB17" s="4">
        <f t="shared" si="3"/>
        <v>0</v>
      </c>
      <c r="AC17" s="54"/>
    </row>
    <row r="18" spans="1:29" ht="30" customHeight="1">
      <c r="A18" s="12" t="s">
        <v>67</v>
      </c>
      <c r="B18" s="3"/>
      <c r="C18" s="3"/>
      <c r="D18" s="3"/>
      <c r="E18" s="3"/>
      <c r="F18" s="3"/>
      <c r="G18" s="3"/>
      <c r="H18" s="3"/>
      <c r="I18" s="3"/>
      <c r="J18" s="3">
        <f t="shared" si="2"/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4"/>
        <v>0</v>
      </c>
      <c r="AB18" s="4">
        <f t="shared" si="3"/>
        <v>0</v>
      </c>
      <c r="AC18" s="54"/>
    </row>
    <row r="19" spans="1:29" ht="30" customHeight="1">
      <c r="A19" s="12" t="s">
        <v>68</v>
      </c>
      <c r="B19" s="3"/>
      <c r="C19" s="3"/>
      <c r="D19" s="3"/>
      <c r="E19" s="3"/>
      <c r="F19" s="3"/>
      <c r="G19" s="3"/>
      <c r="H19" s="3"/>
      <c r="I19" s="3"/>
      <c r="J19" s="3">
        <f t="shared" si="2"/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4"/>
        <v>0</v>
      </c>
      <c r="AB19" s="4">
        <f t="shared" si="3"/>
        <v>0</v>
      </c>
      <c r="AC19" s="54"/>
    </row>
    <row r="20" spans="1:29" ht="30" customHeight="1">
      <c r="A20" s="10" t="s">
        <v>69</v>
      </c>
      <c r="B20" s="3"/>
      <c r="C20" s="3"/>
      <c r="D20" s="3"/>
      <c r="E20" s="3"/>
      <c r="F20" s="3"/>
      <c r="G20" s="3"/>
      <c r="H20" s="3"/>
      <c r="I20" s="3"/>
      <c r="J20" s="3">
        <f t="shared" si="2"/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4"/>
        <v>0</v>
      </c>
      <c r="AB20" s="4">
        <f t="shared" si="3"/>
        <v>0</v>
      </c>
      <c r="AC20" s="54"/>
    </row>
    <row r="21" spans="1:29" ht="30" customHeight="1">
      <c r="A21" s="12" t="s">
        <v>70</v>
      </c>
      <c r="B21" s="3"/>
      <c r="C21" s="3"/>
      <c r="D21" s="3"/>
      <c r="E21" s="3"/>
      <c r="F21" s="3"/>
      <c r="G21" s="3"/>
      <c r="H21" s="3"/>
      <c r="I21" s="3"/>
      <c r="J21" s="3">
        <f t="shared" si="2"/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4"/>
        <v>0</v>
      </c>
      <c r="AB21" s="4">
        <f t="shared" si="3"/>
        <v>0</v>
      </c>
      <c r="AC21" s="54"/>
    </row>
    <row r="22" spans="1:29" ht="30" customHeight="1">
      <c r="A22" s="10" t="s">
        <v>71</v>
      </c>
      <c r="B22" s="3"/>
      <c r="C22" s="3"/>
      <c r="D22" s="3"/>
      <c r="E22" s="3"/>
      <c r="F22" s="3"/>
      <c r="G22" s="3"/>
      <c r="H22" s="3"/>
      <c r="I22" s="3"/>
      <c r="J22" s="3">
        <f t="shared" si="2"/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>
        <f t="shared" si="4"/>
        <v>0</v>
      </c>
      <c r="AB22" s="4">
        <f t="shared" si="3"/>
        <v>0</v>
      </c>
      <c r="AC22" s="54"/>
    </row>
    <row r="23" spans="1:29" ht="30" customHeight="1">
      <c r="A23" s="10" t="s">
        <v>72</v>
      </c>
      <c r="B23" s="3"/>
      <c r="C23" s="3"/>
      <c r="D23" s="3"/>
      <c r="E23" s="3"/>
      <c r="F23" s="3"/>
      <c r="G23" s="3"/>
      <c r="H23" s="3"/>
      <c r="I23" s="3"/>
      <c r="J23" s="3">
        <f t="shared" si="2"/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>
        <f t="shared" si="4"/>
        <v>0</v>
      </c>
      <c r="AB23" s="4">
        <f t="shared" si="3"/>
        <v>0</v>
      </c>
      <c r="AC23" s="54"/>
    </row>
    <row r="24" spans="1:29" ht="30" customHeight="1">
      <c r="A24" s="66" t="s">
        <v>185</v>
      </c>
      <c r="B24" s="3"/>
      <c r="C24" s="3"/>
      <c r="D24" s="3"/>
      <c r="E24" s="3"/>
      <c r="F24" s="3"/>
      <c r="G24" s="3"/>
      <c r="H24" s="3"/>
      <c r="I24" s="3"/>
      <c r="J24" s="3">
        <f>SUM(B24:I24)</f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>
        <f>SUM(K24:Z24)</f>
        <v>0</v>
      </c>
      <c r="AB24" s="4">
        <f t="shared" si="3"/>
        <v>0</v>
      </c>
      <c r="AC24" s="54"/>
    </row>
    <row r="25" spans="1:29" ht="30" customHeight="1">
      <c r="A25" s="12" t="s">
        <v>99</v>
      </c>
      <c r="B25" s="3"/>
      <c r="C25" s="3"/>
      <c r="D25" s="3"/>
      <c r="E25" s="3"/>
      <c r="F25" s="3"/>
      <c r="G25" s="3"/>
      <c r="H25" s="3"/>
      <c r="I25" s="3"/>
      <c r="J25" s="3">
        <f t="shared" si="2"/>
        <v>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>
        <f t="shared" si="4"/>
        <v>0</v>
      </c>
      <c r="AB25" s="4">
        <f t="shared" si="3"/>
        <v>0</v>
      </c>
      <c r="AC25" s="54"/>
    </row>
    <row r="26" spans="1:29" ht="48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C26" s="54"/>
    </row>
    <row r="27" spans="1:28" ht="30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85"/>
    </row>
    <row r="28" ht="15.75">
      <c r="G28" s="83" t="s">
        <v>17</v>
      </c>
    </row>
  </sheetData>
  <mergeCells count="1">
    <mergeCell ref="X6:X9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7"/>
  <sheetViews>
    <sheetView zoomScale="75" zoomScaleNormal="75" workbookViewId="0" topLeftCell="A4">
      <pane xSplit="1" ySplit="6" topLeftCell="M10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ColWidth="9.00390625" defaultRowHeight="15.75"/>
  <cols>
    <col min="1" max="1" width="27.375" style="0" customWidth="1"/>
    <col min="2" max="2" width="10.125" style="83" customWidth="1"/>
    <col min="3" max="3" width="10.00390625" style="83" customWidth="1"/>
    <col min="4" max="4" width="8.75390625" style="83" customWidth="1"/>
    <col min="5" max="6" width="9.00390625" style="83" customWidth="1"/>
    <col min="7" max="7" width="11.00390625" style="83" customWidth="1"/>
    <col min="8" max="8" width="11.50390625" style="83" customWidth="1"/>
    <col min="9" max="9" width="9.00390625" style="83" customWidth="1"/>
    <col min="10" max="10" width="11.50390625" style="83" customWidth="1"/>
    <col min="11" max="12" width="9.875" style="83" customWidth="1"/>
    <col min="13" max="13" width="10.125" style="83" customWidth="1"/>
    <col min="14" max="14" width="11.00390625" style="83" customWidth="1"/>
    <col min="15" max="15" width="11.875" style="83" customWidth="1"/>
    <col min="16" max="16" width="10.625" style="83" customWidth="1"/>
    <col min="17" max="17" width="11.25390625" style="83" customWidth="1"/>
    <col min="18" max="18" width="11.50390625" style="83" customWidth="1"/>
    <col min="19" max="20" width="9.00390625" style="83" customWidth="1"/>
    <col min="21" max="21" width="9.25390625" style="83" bestFit="1" customWidth="1"/>
    <col min="22" max="23" width="9.00390625" style="83" customWidth="1"/>
    <col min="24" max="24" width="9.375" style="83" customWidth="1"/>
    <col min="25" max="25" width="9.75390625" style="83" bestFit="1" customWidth="1"/>
    <col min="26" max="26" width="9.00390625" style="83" customWidth="1"/>
    <col min="27" max="27" width="10.375" style="83" customWidth="1"/>
    <col min="28" max="28" width="12.25390625" style="83" customWidth="1"/>
  </cols>
  <sheetData>
    <row r="1" spans="5:28" ht="21">
      <c r="E1" s="2"/>
      <c r="F1" s="15" t="s">
        <v>95</v>
      </c>
      <c r="G1" s="16" t="s">
        <v>96</v>
      </c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15" t="s">
        <v>95</v>
      </c>
      <c r="T1" s="16" t="s">
        <v>96</v>
      </c>
      <c r="U1" s="68"/>
      <c r="V1" s="68"/>
      <c r="W1" s="68"/>
      <c r="X1" s="68"/>
      <c r="Y1" s="68"/>
      <c r="Z1" s="68"/>
      <c r="AA1" s="68"/>
      <c r="AB1" s="68"/>
    </row>
    <row r="2" spans="2:28" ht="27.75">
      <c r="B2" s="68"/>
      <c r="C2" s="68"/>
      <c r="D2" s="1"/>
      <c r="E2" s="1"/>
      <c r="F2" s="17" t="s">
        <v>97</v>
      </c>
      <c r="G2" s="18" t="s">
        <v>98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17" t="s">
        <v>97</v>
      </c>
      <c r="T2" s="18" t="s">
        <v>98</v>
      </c>
      <c r="U2" s="68"/>
      <c r="V2" s="68"/>
      <c r="W2" s="68"/>
      <c r="X2" s="68"/>
      <c r="Y2" s="68"/>
      <c r="Z2" s="68"/>
      <c r="AA2" s="68"/>
      <c r="AB2" s="68"/>
    </row>
    <row r="3" spans="2:28" ht="16.5">
      <c r="B3" s="68"/>
      <c r="C3" s="68"/>
      <c r="D3" s="68"/>
      <c r="E3" s="68"/>
      <c r="F3" s="19" t="s">
        <v>126</v>
      </c>
      <c r="G3" s="35" t="s">
        <v>127</v>
      </c>
      <c r="H3" s="68"/>
      <c r="I3" s="68"/>
      <c r="J3" s="68"/>
      <c r="K3" s="68"/>
      <c r="L3" s="68"/>
      <c r="M3" s="20" t="s">
        <v>0</v>
      </c>
      <c r="N3" s="68"/>
      <c r="O3" s="68"/>
      <c r="P3" s="68"/>
      <c r="Q3" s="68"/>
      <c r="R3" s="68"/>
      <c r="S3" s="19" t="s">
        <v>126</v>
      </c>
      <c r="T3" s="35" t="s">
        <v>127</v>
      </c>
      <c r="U3" s="68"/>
      <c r="V3" s="68"/>
      <c r="W3" s="68"/>
      <c r="X3" s="68"/>
      <c r="Y3" s="68"/>
      <c r="Z3" s="68"/>
      <c r="AA3" s="68"/>
      <c r="AB3" s="20" t="s">
        <v>0</v>
      </c>
    </row>
    <row r="4" spans="1:28" ht="30" customHeight="1">
      <c r="A4" s="21" t="s">
        <v>1</v>
      </c>
      <c r="B4" s="22" t="s">
        <v>186</v>
      </c>
      <c r="C4" s="69"/>
      <c r="D4" s="69"/>
      <c r="E4" s="69"/>
      <c r="F4" s="69"/>
      <c r="G4" s="69"/>
      <c r="H4" s="69"/>
      <c r="I4" s="69"/>
      <c r="J4" s="70"/>
      <c r="K4" s="23" t="s">
        <v>187</v>
      </c>
      <c r="L4" s="71"/>
      <c r="M4" s="71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3"/>
      <c r="AB4" s="74"/>
    </row>
    <row r="5" spans="1:28" s="9" customFormat="1" ht="25.5" customHeight="1">
      <c r="A5" s="24" t="s">
        <v>3</v>
      </c>
      <c r="B5" s="25" t="s">
        <v>4</v>
      </c>
      <c r="C5" s="25" t="s">
        <v>5</v>
      </c>
      <c r="D5" s="25" t="s">
        <v>6</v>
      </c>
      <c r="E5" s="25" t="s">
        <v>7</v>
      </c>
      <c r="F5" s="26" t="s">
        <v>188</v>
      </c>
      <c r="G5" s="75"/>
      <c r="H5" s="75"/>
      <c r="I5" s="76"/>
      <c r="J5" s="44" t="s">
        <v>112</v>
      </c>
      <c r="K5" s="26" t="s">
        <v>189</v>
      </c>
      <c r="L5" s="75"/>
      <c r="M5" s="76"/>
      <c r="N5" s="26" t="s">
        <v>190</v>
      </c>
      <c r="O5" s="75"/>
      <c r="P5" s="75"/>
      <c r="Q5" s="76"/>
      <c r="R5" s="25" t="s">
        <v>11</v>
      </c>
      <c r="S5" s="25" t="s">
        <v>12</v>
      </c>
      <c r="T5" s="26" t="s">
        <v>191</v>
      </c>
      <c r="U5" s="75"/>
      <c r="V5" s="75"/>
      <c r="W5" s="75"/>
      <c r="X5" s="75"/>
      <c r="Y5" s="75"/>
      <c r="Z5" s="77"/>
      <c r="AA5" s="25" t="s">
        <v>13</v>
      </c>
      <c r="AB5" s="27" t="s">
        <v>14</v>
      </c>
    </row>
    <row r="6" spans="1:28" ht="16.5">
      <c r="A6" s="10"/>
      <c r="B6" s="80"/>
      <c r="C6" s="28" t="s">
        <v>15</v>
      </c>
      <c r="D6" s="28" t="s">
        <v>16</v>
      </c>
      <c r="E6" s="28" t="s">
        <v>192</v>
      </c>
      <c r="F6" s="80"/>
      <c r="G6" s="80"/>
      <c r="H6" s="80"/>
      <c r="I6" s="80"/>
      <c r="J6" s="28" t="s">
        <v>193</v>
      </c>
      <c r="K6" s="80"/>
      <c r="L6" s="43" t="s">
        <v>194</v>
      </c>
      <c r="M6" s="43" t="s">
        <v>195</v>
      </c>
      <c r="N6" s="80" t="s">
        <v>17</v>
      </c>
      <c r="O6" s="80"/>
      <c r="P6" s="80"/>
      <c r="Q6" s="80"/>
      <c r="R6" s="28" t="s">
        <v>18</v>
      </c>
      <c r="S6" s="28" t="s">
        <v>196</v>
      </c>
      <c r="T6" s="80" t="s">
        <v>17</v>
      </c>
      <c r="U6" s="80" t="s">
        <v>17</v>
      </c>
      <c r="V6" s="80"/>
      <c r="W6" s="80"/>
      <c r="X6" s="107" t="s">
        <v>183</v>
      </c>
      <c r="Y6" s="80"/>
      <c r="Z6" s="80"/>
      <c r="AA6" s="28" t="s">
        <v>197</v>
      </c>
      <c r="AB6" s="81"/>
    </row>
    <row r="7" spans="1:28" ht="16.5">
      <c r="A7" s="10"/>
      <c r="B7" s="28" t="s">
        <v>19</v>
      </c>
      <c r="C7" s="28" t="s">
        <v>198</v>
      </c>
      <c r="D7" s="80"/>
      <c r="E7" s="80" t="s">
        <v>17</v>
      </c>
      <c r="F7" s="28" t="s">
        <v>20</v>
      </c>
      <c r="G7" s="28" t="s">
        <v>21</v>
      </c>
      <c r="H7" s="28" t="s">
        <v>20</v>
      </c>
      <c r="I7" s="28" t="s">
        <v>20</v>
      </c>
      <c r="J7" s="80"/>
      <c r="K7" s="28" t="s">
        <v>22</v>
      </c>
      <c r="L7" s="28" t="s">
        <v>199</v>
      </c>
      <c r="M7" s="28" t="s">
        <v>23</v>
      </c>
      <c r="N7" s="28" t="s">
        <v>20</v>
      </c>
      <c r="O7" s="28" t="s">
        <v>21</v>
      </c>
      <c r="P7" s="28" t="s">
        <v>20</v>
      </c>
      <c r="Q7" s="28" t="s">
        <v>20</v>
      </c>
      <c r="R7" s="80"/>
      <c r="S7" s="80"/>
      <c r="T7" s="28" t="s">
        <v>24</v>
      </c>
      <c r="U7" s="28" t="s">
        <v>25</v>
      </c>
      <c r="V7" s="28" t="s">
        <v>26</v>
      </c>
      <c r="W7" s="28" t="s">
        <v>27</v>
      </c>
      <c r="X7" s="108"/>
      <c r="Y7" s="28" t="s">
        <v>28</v>
      </c>
      <c r="Z7" s="28" t="s">
        <v>29</v>
      </c>
      <c r="AA7" s="80"/>
      <c r="AB7" s="81"/>
    </row>
    <row r="8" spans="1:28" ht="16.5">
      <c r="A8" s="29" t="s">
        <v>30</v>
      </c>
      <c r="B8" s="80"/>
      <c r="C8" s="28" t="s">
        <v>31</v>
      </c>
      <c r="D8" s="28" t="s">
        <v>32</v>
      </c>
      <c r="E8" s="28" t="s">
        <v>200</v>
      </c>
      <c r="F8" s="28" t="s">
        <v>33</v>
      </c>
      <c r="G8" s="28" t="s">
        <v>34</v>
      </c>
      <c r="H8" s="28" t="s">
        <v>35</v>
      </c>
      <c r="I8" s="28" t="s">
        <v>36</v>
      </c>
      <c r="J8" s="28" t="s">
        <v>201</v>
      </c>
      <c r="K8" s="80"/>
      <c r="L8" s="28" t="s">
        <v>202</v>
      </c>
      <c r="M8" s="80"/>
      <c r="N8" s="28" t="s">
        <v>33</v>
      </c>
      <c r="O8" s="28" t="s">
        <v>34</v>
      </c>
      <c r="P8" s="28" t="s">
        <v>35</v>
      </c>
      <c r="Q8" s="28" t="s">
        <v>36</v>
      </c>
      <c r="R8" s="28" t="s">
        <v>37</v>
      </c>
      <c r="S8" s="28" t="s">
        <v>203</v>
      </c>
      <c r="T8" s="80"/>
      <c r="U8" s="28" t="s">
        <v>24</v>
      </c>
      <c r="V8" s="80"/>
      <c r="W8" s="80"/>
      <c r="X8" s="108"/>
      <c r="Y8" s="28" t="s">
        <v>38</v>
      </c>
      <c r="Z8" s="80"/>
      <c r="AA8" s="28" t="s">
        <v>201</v>
      </c>
      <c r="AB8" s="30" t="s">
        <v>39</v>
      </c>
    </row>
    <row r="9" spans="1:28" ht="16.5">
      <c r="A9" s="31" t="s">
        <v>3</v>
      </c>
      <c r="B9" s="32" t="s">
        <v>40</v>
      </c>
      <c r="C9" s="32" t="s">
        <v>41</v>
      </c>
      <c r="D9" s="32" t="s">
        <v>42</v>
      </c>
      <c r="E9" s="32" t="s">
        <v>43</v>
      </c>
      <c r="F9" s="32" t="s">
        <v>44</v>
      </c>
      <c r="G9" s="32" t="s">
        <v>45</v>
      </c>
      <c r="H9" s="32" t="s">
        <v>46</v>
      </c>
      <c r="I9" s="32" t="s">
        <v>47</v>
      </c>
      <c r="J9" s="32" t="s">
        <v>48</v>
      </c>
      <c r="K9" s="32" t="s">
        <v>49</v>
      </c>
      <c r="L9" s="32" t="s">
        <v>204</v>
      </c>
      <c r="M9" s="32" t="s">
        <v>51</v>
      </c>
      <c r="N9" s="32" t="s">
        <v>44</v>
      </c>
      <c r="O9" s="32" t="s">
        <v>205</v>
      </c>
      <c r="P9" s="32" t="s">
        <v>46</v>
      </c>
      <c r="Q9" s="32" t="s">
        <v>47</v>
      </c>
      <c r="R9" s="32" t="s">
        <v>52</v>
      </c>
      <c r="S9" s="32" t="s">
        <v>53</v>
      </c>
      <c r="T9" s="32" t="s">
        <v>54</v>
      </c>
      <c r="U9" s="32" t="s">
        <v>54</v>
      </c>
      <c r="V9" s="32" t="s">
        <v>55</v>
      </c>
      <c r="W9" s="32" t="s">
        <v>56</v>
      </c>
      <c r="X9" s="109"/>
      <c r="Y9" s="32" t="s">
        <v>57</v>
      </c>
      <c r="Z9" s="32" t="s">
        <v>58</v>
      </c>
      <c r="AA9" s="32" t="s">
        <v>48</v>
      </c>
      <c r="AB9" s="82"/>
    </row>
    <row r="10" spans="1:28" ht="30" customHeight="1">
      <c r="A10" s="10" t="s">
        <v>59</v>
      </c>
      <c r="B10" s="3">
        <f aca="true" t="shared" si="0" ref="B10:AB10">SUM(B11:B25)</f>
        <v>5546475</v>
      </c>
      <c r="C10" s="3">
        <f t="shared" si="0"/>
        <v>3170958</v>
      </c>
      <c r="D10" s="3">
        <f t="shared" si="0"/>
        <v>0</v>
      </c>
      <c r="E10" s="3">
        <f t="shared" si="0"/>
        <v>382</v>
      </c>
      <c r="F10" s="3">
        <f t="shared" si="0"/>
        <v>20</v>
      </c>
      <c r="G10" s="3">
        <f t="shared" si="0"/>
        <v>363727</v>
      </c>
      <c r="H10" s="3">
        <f t="shared" si="0"/>
        <v>0</v>
      </c>
      <c r="I10" s="3">
        <f t="shared" si="0"/>
        <v>10130</v>
      </c>
      <c r="J10" s="3">
        <f t="shared" si="0"/>
        <v>9091692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3">
        <f t="shared" si="0"/>
        <v>0</v>
      </c>
      <c r="Q10" s="3">
        <f t="shared" si="0"/>
        <v>0</v>
      </c>
      <c r="R10" s="3">
        <f t="shared" si="0"/>
        <v>0</v>
      </c>
      <c r="S10" s="3">
        <f t="shared" si="0"/>
        <v>0</v>
      </c>
      <c r="T10" s="3">
        <f t="shared" si="0"/>
        <v>873</v>
      </c>
      <c r="U10" s="3">
        <f t="shared" si="0"/>
        <v>550129</v>
      </c>
      <c r="V10" s="3">
        <f t="shared" si="0"/>
        <v>45220</v>
      </c>
      <c r="W10" s="3">
        <f t="shared" si="0"/>
        <v>14048</v>
      </c>
      <c r="X10" s="3">
        <f>SUM(X11:X25)</f>
        <v>70639</v>
      </c>
      <c r="Y10" s="3">
        <f t="shared" si="0"/>
        <v>1947605</v>
      </c>
      <c r="Z10" s="3">
        <f t="shared" si="0"/>
        <v>0</v>
      </c>
      <c r="AA10" s="3">
        <f t="shared" si="0"/>
        <v>2628514</v>
      </c>
      <c r="AB10" s="5">
        <f t="shared" si="0"/>
        <v>11720206</v>
      </c>
    </row>
    <row r="11" spans="1:28" ht="30" customHeight="1">
      <c r="A11" s="10" t="s">
        <v>60</v>
      </c>
      <c r="B11" s="3">
        <v>5143627</v>
      </c>
      <c r="C11" s="93">
        <f>3232204-192496</f>
        <v>3039708</v>
      </c>
      <c r="D11" s="3"/>
      <c r="E11" s="3">
        <v>382</v>
      </c>
      <c r="F11" s="3">
        <v>20</v>
      </c>
      <c r="G11" s="3">
        <v>360804</v>
      </c>
      <c r="H11" s="3"/>
      <c r="I11" s="3">
        <v>10112</v>
      </c>
      <c r="J11" s="3">
        <f aca="true" t="shared" si="1" ref="J11:J25">SUM(B11:I11)</f>
        <v>8554653</v>
      </c>
      <c r="K11" s="3"/>
      <c r="L11" s="3"/>
      <c r="M11" s="3"/>
      <c r="N11" s="3"/>
      <c r="O11" s="3"/>
      <c r="P11" s="3"/>
      <c r="Q11" s="3"/>
      <c r="R11" s="3"/>
      <c r="S11" s="3"/>
      <c r="T11" s="3">
        <v>873</v>
      </c>
      <c r="U11" s="93">
        <f>552879-6466</f>
        <v>546413</v>
      </c>
      <c r="V11" s="3">
        <v>45220</v>
      </c>
      <c r="W11" s="3">
        <v>14048</v>
      </c>
      <c r="X11" s="3">
        <v>66775</v>
      </c>
      <c r="Y11" s="93">
        <f>1923658-1415</f>
        <v>1922243</v>
      </c>
      <c r="Z11" s="3"/>
      <c r="AA11" s="3">
        <f>SUM(K11:Z11)</f>
        <v>2595572</v>
      </c>
      <c r="AB11" s="4">
        <f aca="true" t="shared" si="2" ref="AB11:AB25">SUM(J11,AA11)</f>
        <v>11150225</v>
      </c>
    </row>
    <row r="12" spans="1:28" ht="30" customHeight="1">
      <c r="A12" s="12" t="s">
        <v>61</v>
      </c>
      <c r="B12" s="3"/>
      <c r="C12" s="3"/>
      <c r="D12" s="3"/>
      <c r="E12" s="3"/>
      <c r="F12" s="3"/>
      <c r="G12" s="3"/>
      <c r="H12" s="3"/>
      <c r="I12" s="3"/>
      <c r="J12" s="3">
        <f t="shared" si="1"/>
        <v>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aca="true" t="shared" si="3" ref="AA12:AA25">SUM(K12:Z12)</f>
        <v>0</v>
      </c>
      <c r="AB12" s="4">
        <f t="shared" si="2"/>
        <v>0</v>
      </c>
    </row>
    <row r="13" spans="1:28" ht="30" customHeight="1">
      <c r="A13" s="10" t="s">
        <v>62</v>
      </c>
      <c r="B13" s="3"/>
      <c r="C13" s="3"/>
      <c r="D13" s="3"/>
      <c r="E13" s="3"/>
      <c r="F13" s="3"/>
      <c r="G13" s="3"/>
      <c r="H13" s="3"/>
      <c r="I13" s="3"/>
      <c r="J13" s="3">
        <f t="shared" si="1"/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 t="shared" si="3"/>
        <v>0</v>
      </c>
      <c r="AB13" s="4">
        <f t="shared" si="2"/>
        <v>0</v>
      </c>
    </row>
    <row r="14" spans="1:29" ht="30" customHeight="1">
      <c r="A14" s="10" t="s">
        <v>63</v>
      </c>
      <c r="B14" s="3"/>
      <c r="C14" s="3"/>
      <c r="D14" s="3"/>
      <c r="E14" s="3"/>
      <c r="F14" s="3"/>
      <c r="G14" s="3"/>
      <c r="H14" s="3"/>
      <c r="I14" s="3"/>
      <c r="J14" s="3">
        <f t="shared" si="1"/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 t="shared" si="3"/>
        <v>0</v>
      </c>
      <c r="AB14" s="4">
        <f t="shared" si="2"/>
        <v>0</v>
      </c>
      <c r="AC14" t="s">
        <v>103</v>
      </c>
    </row>
    <row r="15" spans="1:28" ht="30" customHeight="1">
      <c r="A15" s="10" t="s">
        <v>64</v>
      </c>
      <c r="B15" s="3"/>
      <c r="C15" s="3"/>
      <c r="D15" s="3"/>
      <c r="E15" s="3"/>
      <c r="F15" s="3"/>
      <c r="G15" s="3"/>
      <c r="H15" s="3"/>
      <c r="I15" s="3"/>
      <c r="J15" s="3">
        <f t="shared" si="1"/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>
        <f t="shared" si="3"/>
        <v>0</v>
      </c>
      <c r="AB15" s="4">
        <f t="shared" si="2"/>
        <v>0</v>
      </c>
    </row>
    <row r="16" spans="1:28" ht="30" customHeight="1">
      <c r="A16" s="10" t="s">
        <v>65</v>
      </c>
      <c r="B16" s="3">
        <v>135751</v>
      </c>
      <c r="C16" s="3"/>
      <c r="D16" s="3"/>
      <c r="E16" s="3"/>
      <c r="F16" s="3"/>
      <c r="G16" s="3">
        <v>735</v>
      </c>
      <c r="H16" s="3"/>
      <c r="I16" s="3"/>
      <c r="J16" s="3">
        <f t="shared" si="1"/>
        <v>136486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>
        <f t="shared" si="3"/>
        <v>0</v>
      </c>
      <c r="AB16" s="4">
        <f t="shared" si="2"/>
        <v>136486</v>
      </c>
    </row>
    <row r="17" spans="1:28" ht="30" customHeight="1">
      <c r="A17" s="10" t="s">
        <v>66</v>
      </c>
      <c r="B17" s="3"/>
      <c r="C17" s="3"/>
      <c r="D17" s="3"/>
      <c r="E17" s="3"/>
      <c r="F17" s="3"/>
      <c r="G17" s="3"/>
      <c r="H17" s="3"/>
      <c r="I17" s="3"/>
      <c r="J17" s="3">
        <f t="shared" si="1"/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>
        <f t="shared" si="3"/>
        <v>0</v>
      </c>
      <c r="AB17" s="4">
        <f t="shared" si="2"/>
        <v>0</v>
      </c>
    </row>
    <row r="18" spans="1:28" ht="30" customHeight="1">
      <c r="A18" s="12" t="s">
        <v>67</v>
      </c>
      <c r="B18" s="3">
        <v>224804</v>
      </c>
      <c r="C18" s="3">
        <v>131250</v>
      </c>
      <c r="D18" s="3"/>
      <c r="E18" s="3"/>
      <c r="F18" s="3"/>
      <c r="G18" s="3">
        <v>2188</v>
      </c>
      <c r="H18" s="3"/>
      <c r="I18" s="3">
        <v>18</v>
      </c>
      <c r="J18" s="3">
        <f t="shared" si="1"/>
        <v>358260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v>3716</v>
      </c>
      <c r="V18" s="3"/>
      <c r="W18" s="3"/>
      <c r="X18" s="3">
        <v>3864</v>
      </c>
      <c r="Y18" s="3">
        <v>25362</v>
      </c>
      <c r="Z18" s="3"/>
      <c r="AA18" s="3">
        <f t="shared" si="3"/>
        <v>32942</v>
      </c>
      <c r="AB18" s="4">
        <f t="shared" si="2"/>
        <v>391202</v>
      </c>
    </row>
    <row r="19" spans="1:28" ht="30" customHeight="1">
      <c r="A19" s="12" t="s">
        <v>68</v>
      </c>
      <c r="B19" s="3"/>
      <c r="C19" s="3"/>
      <c r="D19" s="3"/>
      <c r="E19" s="3"/>
      <c r="F19" s="3"/>
      <c r="G19" s="3"/>
      <c r="H19" s="3"/>
      <c r="I19" s="3"/>
      <c r="J19" s="3">
        <f t="shared" si="1"/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3"/>
        <v>0</v>
      </c>
      <c r="AB19" s="4">
        <f t="shared" si="2"/>
        <v>0</v>
      </c>
    </row>
    <row r="20" spans="1:28" ht="30" customHeight="1">
      <c r="A20" s="10" t="s">
        <v>69</v>
      </c>
      <c r="B20" s="3"/>
      <c r="C20" s="3"/>
      <c r="D20" s="3"/>
      <c r="E20" s="3"/>
      <c r="F20" s="3"/>
      <c r="G20" s="3"/>
      <c r="H20" s="3"/>
      <c r="I20" s="3"/>
      <c r="J20" s="3">
        <f t="shared" si="1"/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3"/>
        <v>0</v>
      </c>
      <c r="AB20" s="4">
        <f t="shared" si="2"/>
        <v>0</v>
      </c>
    </row>
    <row r="21" spans="1:28" ht="30" customHeight="1">
      <c r="A21" s="12" t="s">
        <v>70</v>
      </c>
      <c r="B21" s="3"/>
      <c r="C21" s="3"/>
      <c r="D21" s="3"/>
      <c r="E21" s="3"/>
      <c r="F21" s="3"/>
      <c r="G21" s="3"/>
      <c r="H21" s="3"/>
      <c r="I21" s="3"/>
      <c r="J21" s="3">
        <f t="shared" si="1"/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3"/>
        <v>0</v>
      </c>
      <c r="AB21" s="4">
        <f t="shared" si="2"/>
        <v>0</v>
      </c>
    </row>
    <row r="22" spans="1:28" ht="30" customHeight="1">
      <c r="A22" s="10" t="s">
        <v>71</v>
      </c>
      <c r="B22" s="3"/>
      <c r="C22" s="3"/>
      <c r="D22" s="3"/>
      <c r="E22" s="3"/>
      <c r="F22" s="3"/>
      <c r="G22" s="3"/>
      <c r="H22" s="3"/>
      <c r="I22" s="3"/>
      <c r="J22" s="3">
        <f t="shared" si="1"/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>
        <f t="shared" si="3"/>
        <v>0</v>
      </c>
      <c r="AB22" s="4">
        <f t="shared" si="2"/>
        <v>0</v>
      </c>
    </row>
    <row r="23" spans="1:28" ht="30" customHeight="1">
      <c r="A23" s="10" t="s">
        <v>72</v>
      </c>
      <c r="B23" s="3"/>
      <c r="C23" s="3"/>
      <c r="D23" s="3"/>
      <c r="E23" s="3"/>
      <c r="F23" s="3"/>
      <c r="G23" s="3"/>
      <c r="H23" s="3"/>
      <c r="I23" s="3"/>
      <c r="J23" s="3">
        <f t="shared" si="1"/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>
        <f t="shared" si="3"/>
        <v>0</v>
      </c>
      <c r="AB23" s="4">
        <f t="shared" si="2"/>
        <v>0</v>
      </c>
    </row>
    <row r="24" spans="1:28" ht="30" customHeight="1">
      <c r="A24" s="66" t="s">
        <v>185</v>
      </c>
      <c r="B24" s="3">
        <v>1270</v>
      </c>
      <c r="C24" s="3"/>
      <c r="D24" s="3"/>
      <c r="E24" s="3"/>
      <c r="F24" s="3"/>
      <c r="G24" s="3"/>
      <c r="H24" s="3"/>
      <c r="I24" s="3"/>
      <c r="J24" s="3">
        <f>SUM(B24:I24)</f>
        <v>1270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>
        <f>SUM(K24:Z24)</f>
        <v>0</v>
      </c>
      <c r="AB24" s="4">
        <f t="shared" si="2"/>
        <v>1270</v>
      </c>
    </row>
    <row r="25" spans="1:28" ht="30" customHeight="1">
      <c r="A25" s="12" t="s">
        <v>99</v>
      </c>
      <c r="B25" s="3">
        <v>41023</v>
      </c>
      <c r="C25" s="3"/>
      <c r="D25" s="3"/>
      <c r="E25" s="3"/>
      <c r="F25" s="3"/>
      <c r="G25" s="3"/>
      <c r="H25" s="3"/>
      <c r="I25" s="3"/>
      <c r="J25" s="3">
        <f t="shared" si="1"/>
        <v>41023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>
        <f t="shared" si="3"/>
        <v>0</v>
      </c>
      <c r="AB25" s="4">
        <f t="shared" si="2"/>
        <v>41023</v>
      </c>
    </row>
    <row r="26" spans="1:27" ht="48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8" ht="30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85"/>
    </row>
  </sheetData>
  <mergeCells count="1">
    <mergeCell ref="X6:X9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7"/>
  <sheetViews>
    <sheetView zoomScale="75" zoomScaleNormal="75" workbookViewId="0" topLeftCell="A3">
      <pane xSplit="1" ySplit="7" topLeftCell="B10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ColWidth="9.00390625" defaultRowHeight="15.75"/>
  <cols>
    <col min="1" max="1" width="27.375" style="0" customWidth="1"/>
    <col min="2" max="2" width="10.125" style="83" customWidth="1"/>
    <col min="3" max="3" width="10.00390625" style="83" customWidth="1"/>
    <col min="4" max="4" width="8.75390625" style="83" customWidth="1"/>
    <col min="5" max="6" width="9.00390625" style="83" customWidth="1"/>
    <col min="7" max="7" width="11.00390625" style="83" customWidth="1"/>
    <col min="8" max="8" width="11.50390625" style="83" customWidth="1"/>
    <col min="9" max="9" width="9.00390625" style="83" customWidth="1"/>
    <col min="10" max="10" width="11.50390625" style="83" customWidth="1"/>
    <col min="11" max="12" width="9.875" style="83" customWidth="1"/>
    <col min="13" max="13" width="10.125" style="83" customWidth="1"/>
    <col min="14" max="14" width="11.00390625" style="83" customWidth="1"/>
    <col min="15" max="15" width="11.875" style="83" customWidth="1"/>
    <col min="16" max="16" width="10.625" style="83" customWidth="1"/>
    <col min="17" max="17" width="11.25390625" style="83" customWidth="1"/>
    <col min="18" max="18" width="11.50390625" style="83" customWidth="1"/>
    <col min="19" max="21" width="9.00390625" style="83" customWidth="1"/>
    <col min="22" max="22" width="9.375" style="83" bestFit="1" customWidth="1"/>
    <col min="23" max="26" width="9.00390625" style="83" customWidth="1"/>
    <col min="27" max="27" width="10.375" style="83" customWidth="1"/>
    <col min="28" max="28" width="12.25390625" style="83" customWidth="1"/>
  </cols>
  <sheetData>
    <row r="1" spans="5:28" ht="21">
      <c r="E1" s="2"/>
      <c r="F1" s="15" t="s">
        <v>95</v>
      </c>
      <c r="G1" s="16" t="s">
        <v>96</v>
      </c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15" t="s">
        <v>95</v>
      </c>
      <c r="T1" s="16" t="s">
        <v>96</v>
      </c>
      <c r="U1" s="68"/>
      <c r="V1" s="68"/>
      <c r="W1" s="68"/>
      <c r="X1" s="68"/>
      <c r="Y1" s="68"/>
      <c r="Z1" s="68"/>
      <c r="AA1" s="68"/>
      <c r="AB1" s="68"/>
    </row>
    <row r="2" spans="2:28" ht="27.75">
      <c r="B2" s="68"/>
      <c r="C2" s="68"/>
      <c r="D2" s="1"/>
      <c r="E2" s="1"/>
      <c r="F2" s="17" t="s">
        <v>97</v>
      </c>
      <c r="G2" s="18" t="s">
        <v>98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17" t="s">
        <v>97</v>
      </c>
      <c r="T2" s="18" t="s">
        <v>98</v>
      </c>
      <c r="U2" s="68"/>
      <c r="V2" s="68"/>
      <c r="W2" s="68"/>
      <c r="X2" s="68"/>
      <c r="Y2" s="68"/>
      <c r="Z2" s="68"/>
      <c r="AA2" s="68"/>
      <c r="AB2" s="68"/>
    </row>
    <row r="3" spans="2:28" ht="16.5">
      <c r="B3" s="68"/>
      <c r="C3" s="68"/>
      <c r="D3" s="68"/>
      <c r="E3" s="68"/>
      <c r="F3" s="19" t="s">
        <v>126</v>
      </c>
      <c r="G3" s="35" t="s">
        <v>127</v>
      </c>
      <c r="H3" s="68"/>
      <c r="I3" s="68"/>
      <c r="J3" s="68"/>
      <c r="K3" s="68"/>
      <c r="L3" s="68"/>
      <c r="M3" s="20" t="s">
        <v>0</v>
      </c>
      <c r="N3" s="68"/>
      <c r="O3" s="68"/>
      <c r="P3" s="68"/>
      <c r="Q3" s="68"/>
      <c r="R3" s="68"/>
      <c r="S3" s="19" t="s">
        <v>126</v>
      </c>
      <c r="T3" s="35" t="s">
        <v>127</v>
      </c>
      <c r="U3" s="68"/>
      <c r="V3" s="68"/>
      <c r="W3" s="68"/>
      <c r="X3" s="68"/>
      <c r="Y3" s="68"/>
      <c r="Z3" s="68"/>
      <c r="AA3" s="68"/>
      <c r="AB3" s="20" t="s">
        <v>0</v>
      </c>
    </row>
    <row r="4" spans="1:28" ht="30" customHeight="1">
      <c r="A4" s="21" t="s">
        <v>1</v>
      </c>
      <c r="B4" s="22" t="s">
        <v>186</v>
      </c>
      <c r="C4" s="69"/>
      <c r="D4" s="69"/>
      <c r="E4" s="69"/>
      <c r="F4" s="69"/>
      <c r="G4" s="69"/>
      <c r="H4" s="69"/>
      <c r="I4" s="69"/>
      <c r="J4" s="70"/>
      <c r="K4" s="23" t="s">
        <v>187</v>
      </c>
      <c r="L4" s="71"/>
      <c r="M4" s="71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3"/>
      <c r="AB4" s="74"/>
    </row>
    <row r="5" spans="1:28" s="9" customFormat="1" ht="25.5" customHeight="1">
      <c r="A5" s="24" t="s">
        <v>3</v>
      </c>
      <c r="B5" s="25" t="s">
        <v>4</v>
      </c>
      <c r="C5" s="25" t="s">
        <v>5</v>
      </c>
      <c r="D5" s="25" t="s">
        <v>6</v>
      </c>
      <c r="E5" s="25" t="s">
        <v>7</v>
      </c>
      <c r="F5" s="26" t="s">
        <v>188</v>
      </c>
      <c r="G5" s="75"/>
      <c r="H5" s="75"/>
      <c r="I5" s="76"/>
      <c r="J5" s="44" t="s">
        <v>112</v>
      </c>
      <c r="K5" s="26" t="s">
        <v>189</v>
      </c>
      <c r="L5" s="75"/>
      <c r="M5" s="76"/>
      <c r="N5" s="26" t="s">
        <v>190</v>
      </c>
      <c r="O5" s="75"/>
      <c r="P5" s="75"/>
      <c r="Q5" s="76"/>
      <c r="R5" s="25" t="s">
        <v>11</v>
      </c>
      <c r="S5" s="25" t="s">
        <v>12</v>
      </c>
      <c r="T5" s="26" t="s">
        <v>191</v>
      </c>
      <c r="U5" s="75"/>
      <c r="V5" s="75"/>
      <c r="W5" s="75"/>
      <c r="X5" s="75"/>
      <c r="Y5" s="75"/>
      <c r="Z5" s="77"/>
      <c r="AA5" s="25" t="s">
        <v>13</v>
      </c>
      <c r="AB5" s="27" t="s">
        <v>14</v>
      </c>
    </row>
    <row r="6" spans="1:28" ht="16.5">
      <c r="A6" s="10"/>
      <c r="B6" s="80"/>
      <c r="C6" s="28" t="s">
        <v>15</v>
      </c>
      <c r="D6" s="28" t="s">
        <v>16</v>
      </c>
      <c r="E6" s="28" t="s">
        <v>192</v>
      </c>
      <c r="F6" s="80"/>
      <c r="G6" s="80"/>
      <c r="H6" s="80"/>
      <c r="I6" s="80"/>
      <c r="J6" s="28" t="s">
        <v>193</v>
      </c>
      <c r="K6" s="80"/>
      <c r="L6" s="43" t="s">
        <v>194</v>
      </c>
      <c r="M6" s="43" t="s">
        <v>195</v>
      </c>
      <c r="N6" s="80" t="s">
        <v>17</v>
      </c>
      <c r="O6" s="80"/>
      <c r="P6" s="80"/>
      <c r="Q6" s="80"/>
      <c r="R6" s="28" t="s">
        <v>18</v>
      </c>
      <c r="S6" s="28" t="s">
        <v>196</v>
      </c>
      <c r="T6" s="80" t="s">
        <v>17</v>
      </c>
      <c r="U6" s="80" t="s">
        <v>17</v>
      </c>
      <c r="V6" s="80"/>
      <c r="W6" s="80"/>
      <c r="X6" s="107" t="s">
        <v>183</v>
      </c>
      <c r="Y6" s="80"/>
      <c r="Z6" s="80"/>
      <c r="AA6" s="28" t="s">
        <v>197</v>
      </c>
      <c r="AB6" s="81"/>
    </row>
    <row r="7" spans="1:28" ht="16.5">
      <c r="A7" s="10"/>
      <c r="B7" s="28" t="s">
        <v>19</v>
      </c>
      <c r="C7" s="28" t="s">
        <v>198</v>
      </c>
      <c r="D7" s="80"/>
      <c r="E7" s="80" t="s">
        <v>17</v>
      </c>
      <c r="F7" s="28" t="s">
        <v>20</v>
      </c>
      <c r="G7" s="28" t="s">
        <v>21</v>
      </c>
      <c r="H7" s="28" t="s">
        <v>20</v>
      </c>
      <c r="I7" s="28" t="s">
        <v>20</v>
      </c>
      <c r="J7" s="80"/>
      <c r="K7" s="28" t="s">
        <v>22</v>
      </c>
      <c r="L7" s="28" t="s">
        <v>199</v>
      </c>
      <c r="M7" s="28" t="s">
        <v>23</v>
      </c>
      <c r="N7" s="28" t="s">
        <v>20</v>
      </c>
      <c r="O7" s="28" t="s">
        <v>21</v>
      </c>
      <c r="P7" s="28" t="s">
        <v>20</v>
      </c>
      <c r="Q7" s="28" t="s">
        <v>20</v>
      </c>
      <c r="R7" s="80"/>
      <c r="S7" s="80"/>
      <c r="T7" s="28" t="s">
        <v>24</v>
      </c>
      <c r="U7" s="28" t="s">
        <v>25</v>
      </c>
      <c r="V7" s="28" t="s">
        <v>26</v>
      </c>
      <c r="W7" s="28" t="s">
        <v>27</v>
      </c>
      <c r="X7" s="108"/>
      <c r="Y7" s="28" t="s">
        <v>28</v>
      </c>
      <c r="Z7" s="28" t="s">
        <v>29</v>
      </c>
      <c r="AA7" s="80"/>
      <c r="AB7" s="81"/>
    </row>
    <row r="8" spans="1:28" ht="16.5">
      <c r="A8" s="29" t="s">
        <v>30</v>
      </c>
      <c r="B8" s="80"/>
      <c r="C8" s="28" t="s">
        <v>31</v>
      </c>
      <c r="D8" s="28" t="s">
        <v>32</v>
      </c>
      <c r="E8" s="28" t="s">
        <v>200</v>
      </c>
      <c r="F8" s="28" t="s">
        <v>33</v>
      </c>
      <c r="G8" s="28" t="s">
        <v>34</v>
      </c>
      <c r="H8" s="28" t="s">
        <v>35</v>
      </c>
      <c r="I8" s="28" t="s">
        <v>36</v>
      </c>
      <c r="J8" s="28" t="s">
        <v>201</v>
      </c>
      <c r="K8" s="80"/>
      <c r="L8" s="28" t="s">
        <v>202</v>
      </c>
      <c r="M8" s="80"/>
      <c r="N8" s="28" t="s">
        <v>33</v>
      </c>
      <c r="O8" s="28" t="s">
        <v>34</v>
      </c>
      <c r="P8" s="28" t="s">
        <v>35</v>
      </c>
      <c r="Q8" s="28" t="s">
        <v>36</v>
      </c>
      <c r="R8" s="28" t="s">
        <v>37</v>
      </c>
      <c r="S8" s="28" t="s">
        <v>203</v>
      </c>
      <c r="T8" s="80"/>
      <c r="U8" s="28" t="s">
        <v>24</v>
      </c>
      <c r="V8" s="80"/>
      <c r="W8" s="80"/>
      <c r="X8" s="108"/>
      <c r="Y8" s="28" t="s">
        <v>38</v>
      </c>
      <c r="Z8" s="80"/>
      <c r="AA8" s="28" t="s">
        <v>201</v>
      </c>
      <c r="AB8" s="30" t="s">
        <v>39</v>
      </c>
    </row>
    <row r="9" spans="1:28" ht="16.5">
      <c r="A9" s="31" t="s">
        <v>3</v>
      </c>
      <c r="B9" s="32" t="s">
        <v>40</v>
      </c>
      <c r="C9" s="32" t="s">
        <v>41</v>
      </c>
      <c r="D9" s="32" t="s">
        <v>42</v>
      </c>
      <c r="E9" s="32" t="s">
        <v>43</v>
      </c>
      <c r="F9" s="32" t="s">
        <v>44</v>
      </c>
      <c r="G9" s="32" t="s">
        <v>45</v>
      </c>
      <c r="H9" s="32" t="s">
        <v>46</v>
      </c>
      <c r="I9" s="32" t="s">
        <v>47</v>
      </c>
      <c r="J9" s="32" t="s">
        <v>48</v>
      </c>
      <c r="K9" s="32" t="s">
        <v>49</v>
      </c>
      <c r="L9" s="32" t="s">
        <v>204</v>
      </c>
      <c r="M9" s="32" t="s">
        <v>51</v>
      </c>
      <c r="N9" s="32" t="s">
        <v>44</v>
      </c>
      <c r="O9" s="32" t="s">
        <v>205</v>
      </c>
      <c r="P9" s="32" t="s">
        <v>46</v>
      </c>
      <c r="Q9" s="32" t="s">
        <v>47</v>
      </c>
      <c r="R9" s="32" t="s">
        <v>52</v>
      </c>
      <c r="S9" s="32" t="s">
        <v>53</v>
      </c>
      <c r="T9" s="32" t="s">
        <v>54</v>
      </c>
      <c r="U9" s="32" t="s">
        <v>54</v>
      </c>
      <c r="V9" s="32" t="s">
        <v>55</v>
      </c>
      <c r="W9" s="32" t="s">
        <v>56</v>
      </c>
      <c r="X9" s="109"/>
      <c r="Y9" s="32" t="s">
        <v>57</v>
      </c>
      <c r="Z9" s="32" t="s">
        <v>58</v>
      </c>
      <c r="AA9" s="32" t="s">
        <v>48</v>
      </c>
      <c r="AB9" s="82"/>
    </row>
    <row r="10" spans="1:28" ht="30" customHeight="1">
      <c r="A10" s="10" t="s">
        <v>59</v>
      </c>
      <c r="B10" s="3">
        <f aca="true" t="shared" si="0" ref="B10:AB10">SUM(B11:B25)</f>
        <v>2376504</v>
      </c>
      <c r="C10" s="3">
        <f t="shared" si="0"/>
        <v>699258</v>
      </c>
      <c r="D10" s="3">
        <f t="shared" si="0"/>
        <v>0</v>
      </c>
      <c r="E10" s="3">
        <f t="shared" si="0"/>
        <v>51693</v>
      </c>
      <c r="F10" s="3">
        <f t="shared" si="0"/>
        <v>0</v>
      </c>
      <c r="G10" s="3">
        <f t="shared" si="0"/>
        <v>16858</v>
      </c>
      <c r="H10" s="3">
        <f t="shared" si="0"/>
        <v>69</v>
      </c>
      <c r="I10" s="3">
        <f t="shared" si="0"/>
        <v>99</v>
      </c>
      <c r="J10" s="3">
        <f t="shared" si="0"/>
        <v>3144481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3">
        <f t="shared" si="0"/>
        <v>0</v>
      </c>
      <c r="Q10" s="3">
        <f t="shared" si="0"/>
        <v>0</v>
      </c>
      <c r="R10" s="3">
        <f t="shared" si="0"/>
        <v>0</v>
      </c>
      <c r="S10" s="3">
        <f t="shared" si="0"/>
        <v>0</v>
      </c>
      <c r="T10" s="3">
        <f t="shared" si="0"/>
        <v>0</v>
      </c>
      <c r="U10" s="3">
        <f t="shared" si="0"/>
        <v>0</v>
      </c>
      <c r="V10" s="3">
        <f t="shared" si="0"/>
        <v>0</v>
      </c>
      <c r="W10" s="3">
        <f t="shared" si="0"/>
        <v>0</v>
      </c>
      <c r="X10" s="3">
        <f>SUM(X11:X25)</f>
        <v>79382</v>
      </c>
      <c r="Y10" s="3">
        <f t="shared" si="0"/>
        <v>184006</v>
      </c>
      <c r="Z10" s="3">
        <f t="shared" si="0"/>
        <v>0</v>
      </c>
      <c r="AA10" s="3">
        <f t="shared" si="0"/>
        <v>263388</v>
      </c>
      <c r="AB10" s="5">
        <f t="shared" si="0"/>
        <v>3407869</v>
      </c>
    </row>
    <row r="11" spans="1:28" ht="30" customHeight="1">
      <c r="A11" s="10" t="s">
        <v>60</v>
      </c>
      <c r="B11" s="93">
        <f>2297077+1</f>
        <v>2297078</v>
      </c>
      <c r="C11" s="3">
        <v>699258</v>
      </c>
      <c r="D11" s="3"/>
      <c r="E11" s="3">
        <v>51693</v>
      </c>
      <c r="F11" s="3"/>
      <c r="G11" s="3">
        <v>16804</v>
      </c>
      <c r="H11" s="3">
        <v>69</v>
      </c>
      <c r="I11" s="3">
        <v>99</v>
      </c>
      <c r="J11" s="3">
        <f aca="true" t="shared" si="1" ref="J11:J25">SUM(B11:I11)</f>
        <v>3065001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>
        <v>79382</v>
      </c>
      <c r="Y11" s="3">
        <v>184006</v>
      </c>
      <c r="Z11" s="3"/>
      <c r="AA11" s="3">
        <f>SUM(K11:Z11)</f>
        <v>263388</v>
      </c>
      <c r="AB11" s="4">
        <f aca="true" t="shared" si="2" ref="AB11:AB25">SUM(J11,AA11)</f>
        <v>3328389</v>
      </c>
    </row>
    <row r="12" spans="1:28" ht="30" customHeight="1">
      <c r="A12" s="12" t="s">
        <v>61</v>
      </c>
      <c r="B12" s="3"/>
      <c r="C12" s="3"/>
      <c r="D12" s="3"/>
      <c r="E12" s="3"/>
      <c r="F12" s="3"/>
      <c r="G12" s="3"/>
      <c r="H12" s="3"/>
      <c r="I12" s="3"/>
      <c r="J12" s="3">
        <f t="shared" si="1"/>
        <v>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aca="true" t="shared" si="3" ref="AA12:AA25">SUM(K12:Z12)</f>
        <v>0</v>
      </c>
      <c r="AB12" s="4">
        <f t="shared" si="2"/>
        <v>0</v>
      </c>
    </row>
    <row r="13" spans="1:28" ht="30" customHeight="1">
      <c r="A13" s="10" t="s">
        <v>62</v>
      </c>
      <c r="B13" s="3"/>
      <c r="C13" s="3"/>
      <c r="D13" s="3"/>
      <c r="E13" s="3"/>
      <c r="F13" s="3"/>
      <c r="G13" s="3"/>
      <c r="H13" s="3"/>
      <c r="I13" s="3"/>
      <c r="J13" s="3">
        <f t="shared" si="1"/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 t="shared" si="3"/>
        <v>0</v>
      </c>
      <c r="AB13" s="4">
        <f t="shared" si="2"/>
        <v>0</v>
      </c>
    </row>
    <row r="14" spans="1:28" ht="30" customHeight="1">
      <c r="A14" s="10" t="s">
        <v>63</v>
      </c>
      <c r="B14" s="3"/>
      <c r="C14" s="3"/>
      <c r="D14" s="3"/>
      <c r="E14" s="3"/>
      <c r="F14" s="3"/>
      <c r="G14" s="3"/>
      <c r="H14" s="3"/>
      <c r="I14" s="3"/>
      <c r="J14" s="3">
        <f t="shared" si="1"/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 t="shared" si="3"/>
        <v>0</v>
      </c>
      <c r="AB14" s="4">
        <f t="shared" si="2"/>
        <v>0</v>
      </c>
    </row>
    <row r="15" spans="1:28" ht="30" customHeight="1">
      <c r="A15" s="10" t="s">
        <v>64</v>
      </c>
      <c r="B15" s="3"/>
      <c r="C15" s="3"/>
      <c r="D15" s="3"/>
      <c r="E15" s="3"/>
      <c r="F15" s="3"/>
      <c r="G15" s="3"/>
      <c r="H15" s="3"/>
      <c r="I15" s="3"/>
      <c r="J15" s="3">
        <f t="shared" si="1"/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>
        <f t="shared" si="3"/>
        <v>0</v>
      </c>
      <c r="AB15" s="4">
        <f t="shared" si="2"/>
        <v>0</v>
      </c>
    </row>
    <row r="16" spans="1:28" ht="30" customHeight="1">
      <c r="A16" s="10" t="s">
        <v>65</v>
      </c>
      <c r="B16" s="3">
        <v>64353</v>
      </c>
      <c r="C16" s="3"/>
      <c r="D16" s="3"/>
      <c r="E16" s="3"/>
      <c r="F16" s="3"/>
      <c r="G16" s="3">
        <v>54</v>
      </c>
      <c r="H16" s="3"/>
      <c r="I16" s="3"/>
      <c r="J16" s="3">
        <f t="shared" si="1"/>
        <v>64407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>
        <f t="shared" si="3"/>
        <v>0</v>
      </c>
      <c r="AB16" s="4">
        <f t="shared" si="2"/>
        <v>64407</v>
      </c>
    </row>
    <row r="17" spans="1:28" ht="30" customHeight="1">
      <c r="A17" s="10" t="s">
        <v>66</v>
      </c>
      <c r="B17" s="3"/>
      <c r="C17" s="3"/>
      <c r="D17" s="3"/>
      <c r="E17" s="3"/>
      <c r="F17" s="3"/>
      <c r="G17" s="3"/>
      <c r="H17" s="3"/>
      <c r="I17" s="3"/>
      <c r="J17" s="3">
        <f t="shared" si="1"/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>
        <f t="shared" si="3"/>
        <v>0</v>
      </c>
      <c r="AB17" s="4">
        <f t="shared" si="2"/>
        <v>0</v>
      </c>
    </row>
    <row r="18" spans="1:28" ht="30" customHeight="1">
      <c r="A18" s="12" t="s">
        <v>67</v>
      </c>
      <c r="B18" s="3"/>
      <c r="C18" s="3"/>
      <c r="D18" s="3"/>
      <c r="E18" s="3"/>
      <c r="F18" s="3"/>
      <c r="G18" s="3"/>
      <c r="H18" s="3"/>
      <c r="I18" s="3"/>
      <c r="J18" s="3">
        <f t="shared" si="1"/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3"/>
        <v>0</v>
      </c>
      <c r="AB18" s="4">
        <f t="shared" si="2"/>
        <v>0</v>
      </c>
    </row>
    <row r="19" spans="1:28" ht="30" customHeight="1">
      <c r="A19" s="12" t="s">
        <v>68</v>
      </c>
      <c r="B19" s="3"/>
      <c r="C19" s="3"/>
      <c r="D19" s="3"/>
      <c r="E19" s="3"/>
      <c r="F19" s="3"/>
      <c r="G19" s="3"/>
      <c r="H19" s="3"/>
      <c r="I19" s="3"/>
      <c r="J19" s="3">
        <f t="shared" si="1"/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3"/>
        <v>0</v>
      </c>
      <c r="AB19" s="4">
        <f t="shared" si="2"/>
        <v>0</v>
      </c>
    </row>
    <row r="20" spans="1:28" ht="30" customHeight="1">
      <c r="A20" s="10" t="s">
        <v>69</v>
      </c>
      <c r="B20" s="3"/>
      <c r="C20" s="3"/>
      <c r="D20" s="3"/>
      <c r="E20" s="3"/>
      <c r="F20" s="3"/>
      <c r="G20" s="3"/>
      <c r="H20" s="3"/>
      <c r="I20" s="3"/>
      <c r="J20" s="3">
        <f t="shared" si="1"/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3"/>
        <v>0</v>
      </c>
      <c r="AB20" s="4">
        <f t="shared" si="2"/>
        <v>0</v>
      </c>
    </row>
    <row r="21" spans="1:28" ht="30" customHeight="1">
      <c r="A21" s="12" t="s">
        <v>70</v>
      </c>
      <c r="B21" s="3"/>
      <c r="C21" s="3"/>
      <c r="D21" s="3"/>
      <c r="E21" s="3"/>
      <c r="F21" s="3"/>
      <c r="G21" s="3"/>
      <c r="H21" s="3"/>
      <c r="I21" s="3"/>
      <c r="J21" s="3">
        <f t="shared" si="1"/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3"/>
        <v>0</v>
      </c>
      <c r="AB21" s="4">
        <f t="shared" si="2"/>
        <v>0</v>
      </c>
    </row>
    <row r="22" spans="1:28" ht="30" customHeight="1">
      <c r="A22" s="10" t="s">
        <v>71</v>
      </c>
      <c r="B22" s="3"/>
      <c r="C22" s="3"/>
      <c r="D22" s="3"/>
      <c r="E22" s="3"/>
      <c r="F22" s="3"/>
      <c r="G22" s="3"/>
      <c r="H22" s="3"/>
      <c r="I22" s="3"/>
      <c r="J22" s="3">
        <f t="shared" si="1"/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>
        <f t="shared" si="3"/>
        <v>0</v>
      </c>
      <c r="AB22" s="4">
        <f t="shared" si="2"/>
        <v>0</v>
      </c>
    </row>
    <row r="23" spans="1:28" ht="30" customHeight="1">
      <c r="A23" s="10" t="s">
        <v>72</v>
      </c>
      <c r="B23" s="3"/>
      <c r="C23" s="3"/>
      <c r="D23" s="3"/>
      <c r="E23" s="3"/>
      <c r="F23" s="3"/>
      <c r="G23" s="3"/>
      <c r="H23" s="3"/>
      <c r="I23" s="3"/>
      <c r="J23" s="3">
        <f t="shared" si="1"/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>
        <f t="shared" si="3"/>
        <v>0</v>
      </c>
      <c r="AB23" s="4">
        <f t="shared" si="2"/>
        <v>0</v>
      </c>
    </row>
    <row r="24" spans="1:28" ht="30" customHeight="1">
      <c r="A24" s="66" t="s">
        <v>185</v>
      </c>
      <c r="B24" s="3"/>
      <c r="C24" s="3"/>
      <c r="D24" s="3"/>
      <c r="E24" s="3"/>
      <c r="F24" s="3"/>
      <c r="G24" s="3"/>
      <c r="H24" s="3"/>
      <c r="I24" s="3"/>
      <c r="J24" s="3">
        <f>SUM(B24:I24)</f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>
        <f>SUM(K24:Z24)</f>
        <v>0</v>
      </c>
      <c r="AB24" s="4">
        <f t="shared" si="2"/>
        <v>0</v>
      </c>
    </row>
    <row r="25" spans="1:28" ht="30" customHeight="1">
      <c r="A25" s="12" t="s">
        <v>99</v>
      </c>
      <c r="B25" s="3">
        <v>15073</v>
      </c>
      <c r="C25" s="3"/>
      <c r="D25" s="3"/>
      <c r="E25" s="3"/>
      <c r="F25" s="3"/>
      <c r="G25" s="3"/>
      <c r="H25" s="3"/>
      <c r="I25" s="3"/>
      <c r="J25" s="3">
        <f t="shared" si="1"/>
        <v>15073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>
        <f t="shared" si="3"/>
        <v>0</v>
      </c>
      <c r="AB25" s="4">
        <f t="shared" si="2"/>
        <v>15073</v>
      </c>
    </row>
    <row r="26" spans="1:27" ht="48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8" ht="30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85"/>
    </row>
  </sheetData>
  <mergeCells count="1">
    <mergeCell ref="X6:X9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7"/>
  <sheetViews>
    <sheetView zoomScale="75" zoomScaleNormal="75" workbookViewId="0" topLeftCell="A5">
      <pane xSplit="1" ySplit="5" topLeftCell="B10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ColWidth="9.00390625" defaultRowHeight="15.75"/>
  <cols>
    <col min="1" max="1" width="27.375" style="83" customWidth="1"/>
    <col min="2" max="2" width="10.125" style="83" customWidth="1"/>
    <col min="3" max="3" width="10.00390625" style="83" customWidth="1"/>
    <col min="4" max="4" width="8.75390625" style="83" customWidth="1"/>
    <col min="5" max="6" width="9.00390625" style="83" customWidth="1"/>
    <col min="7" max="7" width="11.00390625" style="83" customWidth="1"/>
    <col min="8" max="8" width="11.50390625" style="83" customWidth="1"/>
    <col min="9" max="9" width="9.00390625" style="83" customWidth="1"/>
    <col min="10" max="10" width="11.50390625" style="83" customWidth="1"/>
    <col min="11" max="12" width="9.875" style="83" customWidth="1"/>
    <col min="13" max="13" width="10.125" style="83" customWidth="1"/>
    <col min="14" max="14" width="11.00390625" style="83" customWidth="1"/>
    <col min="15" max="15" width="11.875" style="83" customWidth="1"/>
    <col min="16" max="16" width="10.625" style="83" customWidth="1"/>
    <col min="17" max="17" width="11.25390625" style="83" customWidth="1"/>
    <col min="18" max="18" width="11.50390625" style="83" customWidth="1"/>
    <col min="19" max="20" width="9.00390625" style="83" customWidth="1"/>
    <col min="21" max="21" width="9.375" style="83" bestFit="1" customWidth="1"/>
    <col min="22" max="26" width="9.00390625" style="83" customWidth="1"/>
    <col min="27" max="27" width="10.375" style="83" customWidth="1"/>
    <col min="28" max="28" width="12.25390625" style="83" customWidth="1"/>
    <col min="29" max="16384" width="9.00390625" style="83" customWidth="1"/>
  </cols>
  <sheetData>
    <row r="1" spans="1:20" s="68" customFormat="1" ht="21">
      <c r="A1" s="67"/>
      <c r="B1" s="83"/>
      <c r="C1" s="83"/>
      <c r="D1" s="83"/>
      <c r="E1" s="2"/>
      <c r="F1" s="15" t="s">
        <v>95</v>
      </c>
      <c r="G1" s="16" t="s">
        <v>96</v>
      </c>
      <c r="S1" s="15" t="s">
        <v>95</v>
      </c>
      <c r="T1" s="16" t="s">
        <v>96</v>
      </c>
    </row>
    <row r="2" spans="4:20" s="68" customFormat="1" ht="27.75">
      <c r="D2" s="1"/>
      <c r="E2" s="1"/>
      <c r="F2" s="17" t="s">
        <v>97</v>
      </c>
      <c r="G2" s="18" t="s">
        <v>98</v>
      </c>
      <c r="S2" s="17" t="s">
        <v>97</v>
      </c>
      <c r="T2" s="18" t="s">
        <v>98</v>
      </c>
    </row>
    <row r="3" spans="6:28" s="68" customFormat="1" ht="16.5">
      <c r="F3" s="19" t="s">
        <v>126</v>
      </c>
      <c r="G3" s="35" t="s">
        <v>127</v>
      </c>
      <c r="M3" s="20" t="s">
        <v>0</v>
      </c>
      <c r="S3" s="19" t="s">
        <v>126</v>
      </c>
      <c r="T3" s="35" t="s">
        <v>127</v>
      </c>
      <c r="AB3" s="20" t="s">
        <v>0</v>
      </c>
    </row>
    <row r="4" spans="1:28" s="68" customFormat="1" ht="30" customHeight="1">
      <c r="A4" s="21" t="s">
        <v>128</v>
      </c>
      <c r="B4" s="22" t="s">
        <v>186</v>
      </c>
      <c r="C4" s="69"/>
      <c r="D4" s="69"/>
      <c r="E4" s="69"/>
      <c r="F4" s="69"/>
      <c r="G4" s="69"/>
      <c r="H4" s="69"/>
      <c r="I4" s="69"/>
      <c r="J4" s="70"/>
      <c r="K4" s="23" t="s">
        <v>187</v>
      </c>
      <c r="L4" s="71"/>
      <c r="M4" s="71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3"/>
      <c r="AB4" s="74"/>
    </row>
    <row r="5" spans="1:28" s="78" customFormat="1" ht="25.5" customHeight="1">
      <c r="A5" s="24" t="s">
        <v>129</v>
      </c>
      <c r="B5" s="25" t="s">
        <v>4</v>
      </c>
      <c r="C5" s="25" t="s">
        <v>5</v>
      </c>
      <c r="D5" s="25" t="s">
        <v>6</v>
      </c>
      <c r="E5" s="25" t="s">
        <v>7</v>
      </c>
      <c r="F5" s="26" t="s">
        <v>188</v>
      </c>
      <c r="G5" s="75"/>
      <c r="H5" s="75"/>
      <c r="I5" s="76"/>
      <c r="J5" s="44" t="s">
        <v>112</v>
      </c>
      <c r="K5" s="26" t="s">
        <v>189</v>
      </c>
      <c r="L5" s="75"/>
      <c r="M5" s="76"/>
      <c r="N5" s="26" t="s">
        <v>190</v>
      </c>
      <c r="O5" s="75"/>
      <c r="P5" s="75"/>
      <c r="Q5" s="76"/>
      <c r="R5" s="25" t="s">
        <v>11</v>
      </c>
      <c r="S5" s="25" t="s">
        <v>12</v>
      </c>
      <c r="T5" s="26" t="s">
        <v>191</v>
      </c>
      <c r="U5" s="75"/>
      <c r="V5" s="75"/>
      <c r="W5" s="75"/>
      <c r="X5" s="75"/>
      <c r="Y5" s="75"/>
      <c r="Z5" s="77"/>
      <c r="AA5" s="25" t="s">
        <v>13</v>
      </c>
      <c r="AB5" s="27" t="s">
        <v>14</v>
      </c>
    </row>
    <row r="6" spans="1:28" s="68" customFormat="1" ht="16.5">
      <c r="A6" s="79"/>
      <c r="B6" s="80"/>
      <c r="C6" s="28" t="s">
        <v>15</v>
      </c>
      <c r="D6" s="28" t="s">
        <v>16</v>
      </c>
      <c r="E6" s="28" t="s">
        <v>192</v>
      </c>
      <c r="F6" s="80"/>
      <c r="G6" s="80"/>
      <c r="H6" s="80"/>
      <c r="I6" s="80"/>
      <c r="J6" s="28" t="s">
        <v>193</v>
      </c>
      <c r="K6" s="80"/>
      <c r="L6" s="43" t="s">
        <v>194</v>
      </c>
      <c r="M6" s="43" t="s">
        <v>195</v>
      </c>
      <c r="N6" s="80" t="s">
        <v>17</v>
      </c>
      <c r="O6" s="80"/>
      <c r="P6" s="80"/>
      <c r="Q6" s="80"/>
      <c r="R6" s="28" t="s">
        <v>18</v>
      </c>
      <c r="S6" s="28" t="s">
        <v>196</v>
      </c>
      <c r="T6" s="80" t="s">
        <v>17</v>
      </c>
      <c r="U6" s="80" t="s">
        <v>17</v>
      </c>
      <c r="V6" s="80"/>
      <c r="W6" s="80"/>
      <c r="X6" s="107" t="s">
        <v>183</v>
      </c>
      <c r="Y6" s="80"/>
      <c r="Z6" s="80"/>
      <c r="AA6" s="28" t="s">
        <v>197</v>
      </c>
      <c r="AB6" s="81"/>
    </row>
    <row r="7" spans="1:28" s="68" customFormat="1" ht="16.5">
      <c r="A7" s="79"/>
      <c r="B7" s="28" t="s">
        <v>19</v>
      </c>
      <c r="C7" s="28" t="s">
        <v>198</v>
      </c>
      <c r="D7" s="80"/>
      <c r="E7" s="80" t="s">
        <v>17</v>
      </c>
      <c r="F7" s="28" t="s">
        <v>20</v>
      </c>
      <c r="G7" s="28" t="s">
        <v>21</v>
      </c>
      <c r="H7" s="28" t="s">
        <v>20</v>
      </c>
      <c r="I7" s="28" t="s">
        <v>20</v>
      </c>
      <c r="J7" s="80"/>
      <c r="K7" s="28" t="s">
        <v>22</v>
      </c>
      <c r="L7" s="28" t="s">
        <v>199</v>
      </c>
      <c r="M7" s="28" t="s">
        <v>23</v>
      </c>
      <c r="N7" s="28" t="s">
        <v>20</v>
      </c>
      <c r="O7" s="28" t="s">
        <v>21</v>
      </c>
      <c r="P7" s="28" t="s">
        <v>20</v>
      </c>
      <c r="Q7" s="28" t="s">
        <v>20</v>
      </c>
      <c r="R7" s="80"/>
      <c r="S7" s="80"/>
      <c r="T7" s="28" t="s">
        <v>24</v>
      </c>
      <c r="U7" s="28" t="s">
        <v>25</v>
      </c>
      <c r="V7" s="28" t="s">
        <v>26</v>
      </c>
      <c r="W7" s="28" t="s">
        <v>27</v>
      </c>
      <c r="X7" s="108"/>
      <c r="Y7" s="28" t="s">
        <v>28</v>
      </c>
      <c r="Z7" s="28" t="s">
        <v>29</v>
      </c>
      <c r="AA7" s="80"/>
      <c r="AB7" s="81"/>
    </row>
    <row r="8" spans="1:28" s="68" customFormat="1" ht="16.5">
      <c r="A8" s="29" t="s">
        <v>130</v>
      </c>
      <c r="B8" s="80"/>
      <c r="C8" s="28" t="s">
        <v>31</v>
      </c>
      <c r="D8" s="28" t="s">
        <v>32</v>
      </c>
      <c r="E8" s="28" t="s">
        <v>200</v>
      </c>
      <c r="F8" s="28" t="s">
        <v>33</v>
      </c>
      <c r="G8" s="28" t="s">
        <v>34</v>
      </c>
      <c r="H8" s="28" t="s">
        <v>35</v>
      </c>
      <c r="I8" s="28" t="s">
        <v>36</v>
      </c>
      <c r="J8" s="28" t="s">
        <v>201</v>
      </c>
      <c r="K8" s="80"/>
      <c r="L8" s="28" t="s">
        <v>202</v>
      </c>
      <c r="M8" s="80"/>
      <c r="N8" s="28" t="s">
        <v>33</v>
      </c>
      <c r="O8" s="28" t="s">
        <v>34</v>
      </c>
      <c r="P8" s="28" t="s">
        <v>35</v>
      </c>
      <c r="Q8" s="28" t="s">
        <v>36</v>
      </c>
      <c r="R8" s="28" t="s">
        <v>37</v>
      </c>
      <c r="S8" s="28" t="s">
        <v>203</v>
      </c>
      <c r="T8" s="80"/>
      <c r="U8" s="28" t="s">
        <v>24</v>
      </c>
      <c r="V8" s="80"/>
      <c r="W8" s="80"/>
      <c r="X8" s="108"/>
      <c r="Y8" s="28" t="s">
        <v>38</v>
      </c>
      <c r="Z8" s="80"/>
      <c r="AA8" s="28" t="s">
        <v>201</v>
      </c>
      <c r="AB8" s="30" t="s">
        <v>39</v>
      </c>
    </row>
    <row r="9" spans="1:28" s="68" customFormat="1" ht="16.5">
      <c r="A9" s="31" t="s">
        <v>129</v>
      </c>
      <c r="B9" s="32" t="s">
        <v>40</v>
      </c>
      <c r="C9" s="32" t="s">
        <v>41</v>
      </c>
      <c r="D9" s="32" t="s">
        <v>42</v>
      </c>
      <c r="E9" s="32" t="s">
        <v>43</v>
      </c>
      <c r="F9" s="32" t="s">
        <v>44</v>
      </c>
      <c r="G9" s="32" t="s">
        <v>45</v>
      </c>
      <c r="H9" s="32" t="s">
        <v>46</v>
      </c>
      <c r="I9" s="32" t="s">
        <v>47</v>
      </c>
      <c r="J9" s="32" t="s">
        <v>48</v>
      </c>
      <c r="K9" s="32" t="s">
        <v>49</v>
      </c>
      <c r="L9" s="32" t="s">
        <v>204</v>
      </c>
      <c r="M9" s="32" t="s">
        <v>51</v>
      </c>
      <c r="N9" s="32" t="s">
        <v>44</v>
      </c>
      <c r="O9" s="32" t="s">
        <v>205</v>
      </c>
      <c r="P9" s="32" t="s">
        <v>46</v>
      </c>
      <c r="Q9" s="32" t="s">
        <v>47</v>
      </c>
      <c r="R9" s="32" t="s">
        <v>52</v>
      </c>
      <c r="S9" s="32" t="s">
        <v>53</v>
      </c>
      <c r="T9" s="32" t="s">
        <v>54</v>
      </c>
      <c r="U9" s="32" t="s">
        <v>54</v>
      </c>
      <c r="V9" s="32" t="s">
        <v>55</v>
      </c>
      <c r="W9" s="32" t="s">
        <v>56</v>
      </c>
      <c r="X9" s="109"/>
      <c r="Y9" s="32" t="s">
        <v>57</v>
      </c>
      <c r="Z9" s="32" t="s">
        <v>58</v>
      </c>
      <c r="AA9" s="32" t="s">
        <v>48</v>
      </c>
      <c r="AB9" s="82"/>
    </row>
    <row r="10" spans="1:28" ht="30" customHeight="1">
      <c r="A10" s="79" t="s">
        <v>131</v>
      </c>
      <c r="B10" s="3">
        <f aca="true" t="shared" si="0" ref="B10:AB10">SUM(B11:B25)</f>
        <v>13796331</v>
      </c>
      <c r="C10" s="3">
        <f t="shared" si="0"/>
        <v>2487592</v>
      </c>
      <c r="D10" s="3">
        <f t="shared" si="0"/>
        <v>0</v>
      </c>
      <c r="E10" s="3">
        <f t="shared" si="0"/>
        <v>1247</v>
      </c>
      <c r="F10" s="3">
        <f t="shared" si="0"/>
        <v>0</v>
      </c>
      <c r="G10" s="3">
        <f t="shared" si="0"/>
        <v>669151</v>
      </c>
      <c r="H10" s="3">
        <f t="shared" si="0"/>
        <v>8317</v>
      </c>
      <c r="I10" s="3">
        <f t="shared" si="0"/>
        <v>0</v>
      </c>
      <c r="J10" s="3">
        <f t="shared" si="0"/>
        <v>16962638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217458</v>
      </c>
      <c r="P10" s="3">
        <f t="shared" si="0"/>
        <v>0</v>
      </c>
      <c r="Q10" s="3">
        <f t="shared" si="0"/>
        <v>0</v>
      </c>
      <c r="R10" s="3">
        <f t="shared" si="0"/>
        <v>147628</v>
      </c>
      <c r="S10" s="3">
        <f t="shared" si="0"/>
        <v>0</v>
      </c>
      <c r="T10" s="3">
        <f t="shared" si="0"/>
        <v>0</v>
      </c>
      <c r="U10" s="3">
        <f t="shared" si="0"/>
        <v>26164</v>
      </c>
      <c r="V10" s="3">
        <f t="shared" si="0"/>
        <v>0</v>
      </c>
      <c r="W10" s="3">
        <f t="shared" si="0"/>
        <v>25567</v>
      </c>
      <c r="X10" s="3">
        <f>SUM(X11:X25)</f>
        <v>112185</v>
      </c>
      <c r="Y10" s="3">
        <f t="shared" si="0"/>
        <v>287396</v>
      </c>
      <c r="Z10" s="3">
        <f t="shared" si="0"/>
        <v>0</v>
      </c>
      <c r="AA10" s="3">
        <f t="shared" si="0"/>
        <v>816398</v>
      </c>
      <c r="AB10" s="5">
        <f t="shared" si="0"/>
        <v>17779036</v>
      </c>
    </row>
    <row r="11" spans="1:28" ht="30" customHeight="1">
      <c r="A11" s="10" t="s">
        <v>60</v>
      </c>
      <c r="B11" s="3"/>
      <c r="C11" s="3"/>
      <c r="D11" s="3"/>
      <c r="E11" s="3"/>
      <c r="F11" s="3"/>
      <c r="G11" s="3"/>
      <c r="H11" s="3"/>
      <c r="I11" s="3"/>
      <c r="J11" s="3">
        <f aca="true" t="shared" si="1" ref="J11:J25">SUM(B11:I11)</f>
        <v>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>
        <f>SUM(K11:Z11)</f>
        <v>0</v>
      </c>
      <c r="AB11" s="4">
        <f aca="true" t="shared" si="2" ref="AB11:AB25">SUM(J11,AA11)</f>
        <v>0</v>
      </c>
    </row>
    <row r="12" spans="1:28" ht="30" customHeight="1">
      <c r="A12" s="12" t="s">
        <v>132</v>
      </c>
      <c r="B12" s="3"/>
      <c r="C12" s="3"/>
      <c r="D12" s="3"/>
      <c r="E12" s="3"/>
      <c r="F12" s="3"/>
      <c r="G12" s="3"/>
      <c r="H12" s="3"/>
      <c r="I12" s="3"/>
      <c r="J12" s="3">
        <f t="shared" si="1"/>
        <v>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aca="true" t="shared" si="3" ref="AA12:AA25">SUM(K12:Z12)</f>
        <v>0</v>
      </c>
      <c r="AB12" s="4">
        <f t="shared" si="2"/>
        <v>0</v>
      </c>
    </row>
    <row r="13" spans="1:28" ht="30" customHeight="1">
      <c r="A13" s="10" t="s">
        <v>62</v>
      </c>
      <c r="B13" s="93">
        <f>12953181-1</f>
        <v>12953180</v>
      </c>
      <c r="C13" s="3">
        <v>2487592</v>
      </c>
      <c r="D13" s="3"/>
      <c r="E13" s="3">
        <v>1247</v>
      </c>
      <c r="F13" s="3"/>
      <c r="G13" s="3">
        <v>40067</v>
      </c>
      <c r="H13" s="3">
        <v>8317</v>
      </c>
      <c r="I13" s="3"/>
      <c r="J13" s="3">
        <f t="shared" si="1"/>
        <v>15490403</v>
      </c>
      <c r="K13" s="3"/>
      <c r="L13" s="3"/>
      <c r="M13" s="3"/>
      <c r="N13" s="3"/>
      <c r="O13" s="3"/>
      <c r="P13" s="3"/>
      <c r="Q13" s="3"/>
      <c r="R13" s="3">
        <v>147628</v>
      </c>
      <c r="S13" s="3"/>
      <c r="T13" s="3"/>
      <c r="U13" s="3">
        <v>26164</v>
      </c>
      <c r="V13" s="3"/>
      <c r="W13" s="3">
        <v>25567</v>
      </c>
      <c r="X13" s="3">
        <v>112185</v>
      </c>
      <c r="Y13" s="3">
        <v>287396</v>
      </c>
      <c r="Z13" s="3"/>
      <c r="AA13" s="3">
        <f t="shared" si="3"/>
        <v>598940</v>
      </c>
      <c r="AB13" s="4">
        <f t="shared" si="2"/>
        <v>16089343</v>
      </c>
    </row>
    <row r="14" spans="1:28" ht="30" customHeight="1">
      <c r="A14" s="10" t="s">
        <v>63</v>
      </c>
      <c r="B14" s="3"/>
      <c r="C14" s="3"/>
      <c r="D14" s="3"/>
      <c r="E14" s="3"/>
      <c r="F14" s="3"/>
      <c r="G14" s="3"/>
      <c r="H14" s="3"/>
      <c r="I14" s="3"/>
      <c r="J14" s="3">
        <f t="shared" si="1"/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 t="shared" si="3"/>
        <v>0</v>
      </c>
      <c r="AB14" s="4">
        <f t="shared" si="2"/>
        <v>0</v>
      </c>
    </row>
    <row r="15" spans="1:28" ht="30" customHeight="1">
      <c r="A15" s="10" t="s">
        <v>64</v>
      </c>
      <c r="B15" s="3"/>
      <c r="C15" s="3"/>
      <c r="D15" s="3"/>
      <c r="E15" s="3"/>
      <c r="F15" s="3"/>
      <c r="G15" s="3"/>
      <c r="H15" s="3"/>
      <c r="I15" s="3"/>
      <c r="J15" s="3">
        <f t="shared" si="1"/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>
        <f t="shared" si="3"/>
        <v>0</v>
      </c>
      <c r="AB15" s="4">
        <f t="shared" si="2"/>
        <v>0</v>
      </c>
    </row>
    <row r="16" spans="1:28" ht="30" customHeight="1">
      <c r="A16" s="10" t="s">
        <v>65</v>
      </c>
      <c r="B16" s="3">
        <v>690229</v>
      </c>
      <c r="C16" s="3"/>
      <c r="D16" s="3"/>
      <c r="E16" s="3"/>
      <c r="F16" s="3"/>
      <c r="G16" s="93">
        <f>643803-14719</f>
        <v>629084</v>
      </c>
      <c r="H16" s="3"/>
      <c r="I16" s="3"/>
      <c r="J16" s="3">
        <f t="shared" si="1"/>
        <v>1319313</v>
      </c>
      <c r="K16" s="3"/>
      <c r="L16" s="3"/>
      <c r="M16" s="3"/>
      <c r="N16" s="3"/>
      <c r="O16" s="3">
        <v>217458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>
        <f t="shared" si="3"/>
        <v>217458</v>
      </c>
      <c r="AB16" s="4">
        <f t="shared" si="2"/>
        <v>1536771</v>
      </c>
    </row>
    <row r="17" spans="1:28" ht="30" customHeight="1">
      <c r="A17" s="10" t="s">
        <v>66</v>
      </c>
      <c r="B17" s="3"/>
      <c r="C17" s="3"/>
      <c r="D17" s="3"/>
      <c r="E17" s="3"/>
      <c r="F17" s="3"/>
      <c r="G17" s="3"/>
      <c r="H17" s="3"/>
      <c r="I17" s="3"/>
      <c r="J17" s="3">
        <f t="shared" si="1"/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>
        <f t="shared" si="3"/>
        <v>0</v>
      </c>
      <c r="AB17" s="4">
        <f t="shared" si="2"/>
        <v>0</v>
      </c>
    </row>
    <row r="18" spans="1:28" ht="30" customHeight="1">
      <c r="A18" s="12" t="s">
        <v>67</v>
      </c>
      <c r="B18" s="3"/>
      <c r="C18" s="3"/>
      <c r="D18" s="3"/>
      <c r="E18" s="3"/>
      <c r="F18" s="3"/>
      <c r="G18" s="3"/>
      <c r="H18" s="3"/>
      <c r="I18" s="3"/>
      <c r="J18" s="3">
        <f t="shared" si="1"/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3"/>
        <v>0</v>
      </c>
      <c r="AB18" s="4">
        <f t="shared" si="2"/>
        <v>0</v>
      </c>
    </row>
    <row r="19" spans="1:28" ht="30" customHeight="1">
      <c r="A19" s="12" t="s">
        <v>68</v>
      </c>
      <c r="B19" s="3"/>
      <c r="C19" s="3"/>
      <c r="D19" s="3"/>
      <c r="E19" s="3"/>
      <c r="F19" s="3"/>
      <c r="G19" s="3"/>
      <c r="H19" s="3"/>
      <c r="I19" s="3"/>
      <c r="J19" s="3">
        <f t="shared" si="1"/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3"/>
        <v>0</v>
      </c>
      <c r="AB19" s="4">
        <f t="shared" si="2"/>
        <v>0</v>
      </c>
    </row>
    <row r="20" spans="1:28" ht="30" customHeight="1">
      <c r="A20" s="10" t="s">
        <v>69</v>
      </c>
      <c r="B20" s="3"/>
      <c r="C20" s="3"/>
      <c r="D20" s="3"/>
      <c r="E20" s="3"/>
      <c r="F20" s="3"/>
      <c r="G20" s="3"/>
      <c r="H20" s="3"/>
      <c r="I20" s="3"/>
      <c r="J20" s="3">
        <f t="shared" si="1"/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3"/>
        <v>0</v>
      </c>
      <c r="AB20" s="4">
        <f t="shared" si="2"/>
        <v>0</v>
      </c>
    </row>
    <row r="21" spans="1:28" ht="30" customHeight="1">
      <c r="A21" s="12" t="s">
        <v>70</v>
      </c>
      <c r="B21" s="3"/>
      <c r="C21" s="3"/>
      <c r="D21" s="3"/>
      <c r="E21" s="3"/>
      <c r="F21" s="3"/>
      <c r="G21" s="3"/>
      <c r="H21" s="3"/>
      <c r="I21" s="3"/>
      <c r="J21" s="3">
        <f t="shared" si="1"/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3"/>
        <v>0</v>
      </c>
      <c r="AB21" s="4">
        <f t="shared" si="2"/>
        <v>0</v>
      </c>
    </row>
    <row r="22" spans="1:28" ht="30" customHeight="1">
      <c r="A22" s="10" t="s">
        <v>71</v>
      </c>
      <c r="B22" s="3"/>
      <c r="C22" s="3"/>
      <c r="D22" s="3"/>
      <c r="E22" s="3"/>
      <c r="F22" s="3"/>
      <c r="G22" s="3"/>
      <c r="H22" s="3"/>
      <c r="I22" s="3"/>
      <c r="J22" s="3">
        <f t="shared" si="1"/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>
        <f t="shared" si="3"/>
        <v>0</v>
      </c>
      <c r="AB22" s="4">
        <f t="shared" si="2"/>
        <v>0</v>
      </c>
    </row>
    <row r="23" spans="1:28" ht="30" customHeight="1">
      <c r="A23" s="10" t="s">
        <v>72</v>
      </c>
      <c r="B23" s="3"/>
      <c r="C23" s="3"/>
      <c r="D23" s="3"/>
      <c r="E23" s="3"/>
      <c r="F23" s="3"/>
      <c r="G23" s="3"/>
      <c r="H23" s="3"/>
      <c r="I23" s="3"/>
      <c r="J23" s="3">
        <f t="shared" si="1"/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>
        <f t="shared" si="3"/>
        <v>0</v>
      </c>
      <c r="AB23" s="4">
        <f t="shared" si="2"/>
        <v>0</v>
      </c>
    </row>
    <row r="24" spans="1:28" ht="30" customHeight="1">
      <c r="A24" s="84" t="s">
        <v>185</v>
      </c>
      <c r="B24" s="3"/>
      <c r="C24" s="3"/>
      <c r="D24" s="3"/>
      <c r="E24" s="3"/>
      <c r="F24" s="3"/>
      <c r="G24" s="3"/>
      <c r="H24" s="3"/>
      <c r="I24" s="3"/>
      <c r="J24" s="3">
        <f>SUM(B24:I24)</f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>
        <f>SUM(K24:Z24)</f>
        <v>0</v>
      </c>
      <c r="AB24" s="4">
        <f t="shared" si="2"/>
        <v>0</v>
      </c>
    </row>
    <row r="25" spans="1:28" ht="30" customHeight="1">
      <c r="A25" s="12" t="s">
        <v>99</v>
      </c>
      <c r="B25" s="3">
        <v>152922</v>
      </c>
      <c r="C25" s="3"/>
      <c r="D25" s="3"/>
      <c r="E25" s="3"/>
      <c r="F25" s="3"/>
      <c r="G25" s="3"/>
      <c r="H25" s="3"/>
      <c r="I25" s="3"/>
      <c r="J25" s="3">
        <f t="shared" si="1"/>
        <v>152922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>
        <f t="shared" si="3"/>
        <v>0</v>
      </c>
      <c r="AB25" s="4">
        <f t="shared" si="2"/>
        <v>152922</v>
      </c>
    </row>
    <row r="26" spans="1:27" ht="48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8" ht="30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85"/>
    </row>
  </sheetData>
  <mergeCells count="1">
    <mergeCell ref="X6:X9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27"/>
  <sheetViews>
    <sheetView zoomScale="75" zoomScaleNormal="75" workbookViewId="0" topLeftCell="A4">
      <pane xSplit="1" ySplit="7" topLeftCell="B11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ColWidth="9.00390625" defaultRowHeight="15.75"/>
  <cols>
    <col min="1" max="1" width="27.375" style="83" customWidth="1"/>
    <col min="2" max="2" width="10.125" style="83" customWidth="1"/>
    <col min="3" max="3" width="10.00390625" style="83" customWidth="1"/>
    <col min="4" max="4" width="8.75390625" style="83" customWidth="1"/>
    <col min="5" max="6" width="9.00390625" style="83" customWidth="1"/>
    <col min="7" max="7" width="11.00390625" style="83" customWidth="1"/>
    <col min="8" max="8" width="11.50390625" style="83" customWidth="1"/>
    <col min="9" max="9" width="9.00390625" style="83" customWidth="1"/>
    <col min="10" max="10" width="11.50390625" style="83" customWidth="1"/>
    <col min="11" max="12" width="9.875" style="83" customWidth="1"/>
    <col min="13" max="13" width="10.125" style="83" customWidth="1"/>
    <col min="14" max="14" width="11.00390625" style="83" customWidth="1"/>
    <col min="15" max="15" width="11.875" style="83" customWidth="1"/>
    <col min="16" max="16" width="10.625" style="83" customWidth="1"/>
    <col min="17" max="17" width="11.25390625" style="83" customWidth="1"/>
    <col min="18" max="18" width="11.50390625" style="83" customWidth="1"/>
    <col min="19" max="26" width="9.00390625" style="83" customWidth="1"/>
    <col min="27" max="27" width="10.375" style="83" customWidth="1"/>
    <col min="28" max="28" width="12.25390625" style="83" customWidth="1"/>
    <col min="29" max="16384" width="9.00390625" style="83" customWidth="1"/>
  </cols>
  <sheetData>
    <row r="1" spans="1:20" s="68" customFormat="1" ht="21">
      <c r="A1" s="67"/>
      <c r="B1" s="83"/>
      <c r="C1" s="83"/>
      <c r="D1" s="83"/>
      <c r="E1" s="2"/>
      <c r="F1" s="15" t="s">
        <v>95</v>
      </c>
      <c r="G1" s="16" t="s">
        <v>96</v>
      </c>
      <c r="S1" s="15" t="s">
        <v>95</v>
      </c>
      <c r="T1" s="16" t="s">
        <v>96</v>
      </c>
    </row>
    <row r="2" spans="4:20" s="68" customFormat="1" ht="27.75">
      <c r="D2" s="1"/>
      <c r="E2" s="1"/>
      <c r="F2" s="17" t="s">
        <v>97</v>
      </c>
      <c r="G2" s="18" t="s">
        <v>98</v>
      </c>
      <c r="S2" s="17" t="s">
        <v>97</v>
      </c>
      <c r="T2" s="18" t="s">
        <v>98</v>
      </c>
    </row>
    <row r="3" spans="6:28" s="68" customFormat="1" ht="16.5">
      <c r="F3" s="19" t="s">
        <v>126</v>
      </c>
      <c r="G3" s="35" t="s">
        <v>127</v>
      </c>
      <c r="M3" s="20" t="s">
        <v>0</v>
      </c>
      <c r="S3" s="19" t="s">
        <v>126</v>
      </c>
      <c r="T3" s="35" t="s">
        <v>127</v>
      </c>
      <c r="AB3" s="20" t="s">
        <v>0</v>
      </c>
    </row>
    <row r="4" spans="1:28" s="68" customFormat="1" ht="30" customHeight="1">
      <c r="A4" s="21" t="s">
        <v>128</v>
      </c>
      <c r="B4" s="22" t="s">
        <v>186</v>
      </c>
      <c r="C4" s="69"/>
      <c r="D4" s="69"/>
      <c r="E4" s="69"/>
      <c r="F4" s="69"/>
      <c r="G4" s="69"/>
      <c r="H4" s="69"/>
      <c r="I4" s="69"/>
      <c r="J4" s="70"/>
      <c r="K4" s="23" t="s">
        <v>187</v>
      </c>
      <c r="L4" s="71"/>
      <c r="M4" s="71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3"/>
      <c r="AB4" s="74"/>
    </row>
    <row r="5" spans="1:28" s="78" customFormat="1" ht="25.5" customHeight="1">
      <c r="A5" s="24" t="s">
        <v>129</v>
      </c>
      <c r="B5" s="25" t="s">
        <v>4</v>
      </c>
      <c r="C5" s="25" t="s">
        <v>5</v>
      </c>
      <c r="D5" s="25" t="s">
        <v>6</v>
      </c>
      <c r="E5" s="25" t="s">
        <v>7</v>
      </c>
      <c r="F5" s="26" t="s">
        <v>188</v>
      </c>
      <c r="G5" s="75"/>
      <c r="H5" s="75"/>
      <c r="I5" s="76"/>
      <c r="J5" s="44" t="s">
        <v>112</v>
      </c>
      <c r="K5" s="26" t="s">
        <v>189</v>
      </c>
      <c r="L5" s="75"/>
      <c r="M5" s="76"/>
      <c r="N5" s="26" t="s">
        <v>190</v>
      </c>
      <c r="O5" s="75"/>
      <c r="P5" s="75"/>
      <c r="Q5" s="76"/>
      <c r="R5" s="25" t="s">
        <v>11</v>
      </c>
      <c r="S5" s="25" t="s">
        <v>12</v>
      </c>
      <c r="T5" s="26" t="s">
        <v>191</v>
      </c>
      <c r="U5" s="75"/>
      <c r="V5" s="75"/>
      <c r="W5" s="75"/>
      <c r="X5" s="75"/>
      <c r="Y5" s="75"/>
      <c r="Z5" s="77"/>
      <c r="AA5" s="25" t="s">
        <v>13</v>
      </c>
      <c r="AB5" s="27" t="s">
        <v>14</v>
      </c>
    </row>
    <row r="6" spans="1:28" s="68" customFormat="1" ht="16.5">
      <c r="A6" s="79"/>
      <c r="B6" s="80"/>
      <c r="C6" s="28" t="s">
        <v>15</v>
      </c>
      <c r="D6" s="28" t="s">
        <v>16</v>
      </c>
      <c r="E6" s="28" t="s">
        <v>192</v>
      </c>
      <c r="F6" s="80"/>
      <c r="G6" s="80"/>
      <c r="H6" s="80"/>
      <c r="I6" s="80"/>
      <c r="J6" s="28" t="s">
        <v>193</v>
      </c>
      <c r="K6" s="80"/>
      <c r="L6" s="43" t="s">
        <v>194</v>
      </c>
      <c r="M6" s="43" t="s">
        <v>195</v>
      </c>
      <c r="N6" s="80" t="s">
        <v>17</v>
      </c>
      <c r="O6" s="80"/>
      <c r="P6" s="80"/>
      <c r="Q6" s="80"/>
      <c r="R6" s="28" t="s">
        <v>18</v>
      </c>
      <c r="S6" s="28" t="s">
        <v>196</v>
      </c>
      <c r="T6" s="80" t="s">
        <v>17</v>
      </c>
      <c r="U6" s="80" t="s">
        <v>17</v>
      </c>
      <c r="V6" s="80"/>
      <c r="W6" s="80"/>
      <c r="X6" s="107" t="s">
        <v>183</v>
      </c>
      <c r="Y6" s="80"/>
      <c r="Z6" s="80"/>
      <c r="AA6" s="28" t="s">
        <v>197</v>
      </c>
      <c r="AB6" s="81"/>
    </row>
    <row r="7" spans="1:28" s="68" customFormat="1" ht="16.5">
      <c r="A7" s="79"/>
      <c r="B7" s="28" t="s">
        <v>19</v>
      </c>
      <c r="C7" s="28" t="s">
        <v>198</v>
      </c>
      <c r="D7" s="80"/>
      <c r="E7" s="80" t="s">
        <v>17</v>
      </c>
      <c r="F7" s="28" t="s">
        <v>20</v>
      </c>
      <c r="G7" s="28" t="s">
        <v>21</v>
      </c>
      <c r="H7" s="28" t="s">
        <v>20</v>
      </c>
      <c r="I7" s="28" t="s">
        <v>20</v>
      </c>
      <c r="J7" s="80"/>
      <c r="K7" s="28" t="s">
        <v>22</v>
      </c>
      <c r="L7" s="28" t="s">
        <v>199</v>
      </c>
      <c r="M7" s="28" t="s">
        <v>23</v>
      </c>
      <c r="N7" s="28" t="s">
        <v>20</v>
      </c>
      <c r="O7" s="28" t="s">
        <v>21</v>
      </c>
      <c r="P7" s="28" t="s">
        <v>20</v>
      </c>
      <c r="Q7" s="28" t="s">
        <v>20</v>
      </c>
      <c r="R7" s="80"/>
      <c r="S7" s="80"/>
      <c r="T7" s="28" t="s">
        <v>24</v>
      </c>
      <c r="U7" s="28" t="s">
        <v>25</v>
      </c>
      <c r="V7" s="28" t="s">
        <v>26</v>
      </c>
      <c r="W7" s="28" t="s">
        <v>27</v>
      </c>
      <c r="X7" s="108"/>
      <c r="Y7" s="28" t="s">
        <v>28</v>
      </c>
      <c r="Z7" s="28" t="s">
        <v>29</v>
      </c>
      <c r="AA7" s="80"/>
      <c r="AB7" s="81"/>
    </row>
    <row r="8" spans="1:28" s="68" customFormat="1" ht="16.5">
      <c r="A8" s="29" t="s">
        <v>130</v>
      </c>
      <c r="B8" s="80"/>
      <c r="C8" s="28" t="s">
        <v>31</v>
      </c>
      <c r="D8" s="28" t="s">
        <v>32</v>
      </c>
      <c r="E8" s="28" t="s">
        <v>200</v>
      </c>
      <c r="F8" s="28" t="s">
        <v>33</v>
      </c>
      <c r="G8" s="28" t="s">
        <v>34</v>
      </c>
      <c r="H8" s="28" t="s">
        <v>35</v>
      </c>
      <c r="I8" s="28" t="s">
        <v>36</v>
      </c>
      <c r="J8" s="28" t="s">
        <v>201</v>
      </c>
      <c r="K8" s="80"/>
      <c r="L8" s="28" t="s">
        <v>202</v>
      </c>
      <c r="M8" s="80"/>
      <c r="N8" s="28" t="s">
        <v>33</v>
      </c>
      <c r="O8" s="28" t="s">
        <v>34</v>
      </c>
      <c r="P8" s="28" t="s">
        <v>35</v>
      </c>
      <c r="Q8" s="28" t="s">
        <v>36</v>
      </c>
      <c r="R8" s="28" t="s">
        <v>37</v>
      </c>
      <c r="S8" s="28" t="s">
        <v>203</v>
      </c>
      <c r="T8" s="80"/>
      <c r="U8" s="28" t="s">
        <v>24</v>
      </c>
      <c r="V8" s="80"/>
      <c r="W8" s="80"/>
      <c r="X8" s="108"/>
      <c r="Y8" s="28" t="s">
        <v>38</v>
      </c>
      <c r="Z8" s="80"/>
      <c r="AA8" s="28" t="s">
        <v>201</v>
      </c>
      <c r="AB8" s="30" t="s">
        <v>39</v>
      </c>
    </row>
    <row r="9" spans="1:28" s="68" customFormat="1" ht="16.5">
      <c r="A9" s="31" t="s">
        <v>129</v>
      </c>
      <c r="B9" s="32" t="s">
        <v>40</v>
      </c>
      <c r="C9" s="32" t="s">
        <v>41</v>
      </c>
      <c r="D9" s="32" t="s">
        <v>42</v>
      </c>
      <c r="E9" s="32" t="s">
        <v>43</v>
      </c>
      <c r="F9" s="32" t="s">
        <v>44</v>
      </c>
      <c r="G9" s="32" t="s">
        <v>45</v>
      </c>
      <c r="H9" s="32" t="s">
        <v>46</v>
      </c>
      <c r="I9" s="32" t="s">
        <v>47</v>
      </c>
      <c r="J9" s="32" t="s">
        <v>48</v>
      </c>
      <c r="K9" s="32" t="s">
        <v>49</v>
      </c>
      <c r="L9" s="32" t="s">
        <v>204</v>
      </c>
      <c r="M9" s="32" t="s">
        <v>51</v>
      </c>
      <c r="N9" s="32" t="s">
        <v>44</v>
      </c>
      <c r="O9" s="32" t="s">
        <v>205</v>
      </c>
      <c r="P9" s="32" t="s">
        <v>46</v>
      </c>
      <c r="Q9" s="32" t="s">
        <v>47</v>
      </c>
      <c r="R9" s="32" t="s">
        <v>52</v>
      </c>
      <c r="S9" s="32" t="s">
        <v>53</v>
      </c>
      <c r="T9" s="32" t="s">
        <v>54</v>
      </c>
      <c r="U9" s="32" t="s">
        <v>54</v>
      </c>
      <c r="V9" s="32" t="s">
        <v>55</v>
      </c>
      <c r="W9" s="32" t="s">
        <v>56</v>
      </c>
      <c r="X9" s="109"/>
      <c r="Y9" s="32" t="s">
        <v>57</v>
      </c>
      <c r="Z9" s="32" t="s">
        <v>58</v>
      </c>
      <c r="AA9" s="32" t="s">
        <v>48</v>
      </c>
      <c r="AB9" s="82"/>
    </row>
    <row r="10" spans="1:28" ht="30" customHeight="1">
      <c r="A10" s="79" t="s">
        <v>131</v>
      </c>
      <c r="B10" s="3">
        <f aca="true" t="shared" si="0" ref="B10:AB10">SUM(B11:B25)</f>
        <v>1966346</v>
      </c>
      <c r="C10" s="3">
        <f t="shared" si="0"/>
        <v>195486</v>
      </c>
      <c r="D10" s="3">
        <f t="shared" si="0"/>
        <v>0</v>
      </c>
      <c r="E10" s="3">
        <f t="shared" si="0"/>
        <v>0</v>
      </c>
      <c r="F10" s="3">
        <f t="shared" si="0"/>
        <v>0</v>
      </c>
      <c r="G10" s="3">
        <f t="shared" si="0"/>
        <v>3613</v>
      </c>
      <c r="H10" s="3">
        <f t="shared" si="0"/>
        <v>1006</v>
      </c>
      <c r="I10" s="3">
        <f t="shared" si="0"/>
        <v>0</v>
      </c>
      <c r="J10" s="3">
        <f t="shared" si="0"/>
        <v>2166451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3">
        <f t="shared" si="0"/>
        <v>0</v>
      </c>
      <c r="Q10" s="3">
        <f t="shared" si="0"/>
        <v>0</v>
      </c>
      <c r="R10" s="3">
        <f t="shared" si="0"/>
        <v>0</v>
      </c>
      <c r="S10" s="3">
        <f t="shared" si="0"/>
        <v>0</v>
      </c>
      <c r="T10" s="3">
        <f t="shared" si="0"/>
        <v>0</v>
      </c>
      <c r="U10" s="3">
        <f t="shared" si="0"/>
        <v>37841</v>
      </c>
      <c r="V10" s="3">
        <f t="shared" si="0"/>
        <v>0</v>
      </c>
      <c r="W10" s="3">
        <f t="shared" si="0"/>
        <v>2622</v>
      </c>
      <c r="X10" s="3">
        <f>SUM(X11:X25)</f>
        <v>7737</v>
      </c>
      <c r="Y10" s="3">
        <f t="shared" si="0"/>
        <v>36094</v>
      </c>
      <c r="Z10" s="3">
        <f t="shared" si="0"/>
        <v>0</v>
      </c>
      <c r="AA10" s="3">
        <f t="shared" si="0"/>
        <v>84294</v>
      </c>
      <c r="AB10" s="5">
        <f t="shared" si="0"/>
        <v>2250745</v>
      </c>
    </row>
    <row r="11" spans="1:28" ht="30" customHeight="1">
      <c r="A11" s="10" t="s">
        <v>60</v>
      </c>
      <c r="B11" s="93">
        <f>1716558+1</f>
        <v>1716559</v>
      </c>
      <c r="C11" s="3">
        <v>195486</v>
      </c>
      <c r="D11" s="3"/>
      <c r="E11" s="3"/>
      <c r="F11" s="3"/>
      <c r="G11" s="3">
        <v>3613</v>
      </c>
      <c r="H11" s="3">
        <v>1006</v>
      </c>
      <c r="I11" s="3"/>
      <c r="J11" s="3">
        <f aca="true" t="shared" si="1" ref="J11:J25">SUM(B11:I11)</f>
        <v>1916664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>
        <v>37841</v>
      </c>
      <c r="V11" s="3"/>
      <c r="W11" s="3">
        <v>2622</v>
      </c>
      <c r="X11" s="3">
        <v>7737</v>
      </c>
      <c r="Y11" s="3">
        <v>36094</v>
      </c>
      <c r="Z11" s="3"/>
      <c r="AA11" s="3">
        <f>SUM(K11:Z11)</f>
        <v>84294</v>
      </c>
      <c r="AB11" s="4">
        <f aca="true" t="shared" si="2" ref="AB11:AB25">SUM(J11,AA11)</f>
        <v>2000958</v>
      </c>
    </row>
    <row r="12" spans="1:28" ht="30" customHeight="1">
      <c r="A12" s="12" t="s">
        <v>132</v>
      </c>
      <c r="B12" s="3"/>
      <c r="C12" s="3"/>
      <c r="D12" s="3"/>
      <c r="E12" s="3"/>
      <c r="F12" s="3"/>
      <c r="G12" s="3"/>
      <c r="H12" s="3"/>
      <c r="I12" s="3"/>
      <c r="J12" s="3">
        <f t="shared" si="1"/>
        <v>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aca="true" t="shared" si="3" ref="AA12:AA25">SUM(K12:Z12)</f>
        <v>0</v>
      </c>
      <c r="AB12" s="4">
        <f t="shared" si="2"/>
        <v>0</v>
      </c>
    </row>
    <row r="13" spans="1:28" ht="30" customHeight="1">
      <c r="A13" s="10" t="s">
        <v>62</v>
      </c>
      <c r="B13" s="3"/>
      <c r="C13" s="3"/>
      <c r="D13" s="3"/>
      <c r="E13" s="3"/>
      <c r="F13" s="3"/>
      <c r="G13" s="3"/>
      <c r="H13" s="3"/>
      <c r="I13" s="3"/>
      <c r="J13" s="3">
        <f t="shared" si="1"/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 t="shared" si="3"/>
        <v>0</v>
      </c>
      <c r="AB13" s="4">
        <f t="shared" si="2"/>
        <v>0</v>
      </c>
    </row>
    <row r="14" spans="1:28" ht="30" customHeight="1">
      <c r="A14" s="10" t="s">
        <v>63</v>
      </c>
      <c r="B14" s="3"/>
      <c r="C14" s="3"/>
      <c r="D14" s="3"/>
      <c r="E14" s="3"/>
      <c r="F14" s="3"/>
      <c r="G14" s="3"/>
      <c r="H14" s="3"/>
      <c r="I14" s="3"/>
      <c r="J14" s="3">
        <f t="shared" si="1"/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 t="shared" si="3"/>
        <v>0</v>
      </c>
      <c r="AB14" s="4">
        <f t="shared" si="2"/>
        <v>0</v>
      </c>
    </row>
    <row r="15" spans="1:28" ht="30" customHeight="1">
      <c r="A15" s="10" t="s">
        <v>64</v>
      </c>
      <c r="B15" s="3"/>
      <c r="C15" s="3"/>
      <c r="D15" s="3"/>
      <c r="E15" s="3"/>
      <c r="F15" s="3"/>
      <c r="G15" s="3"/>
      <c r="H15" s="3"/>
      <c r="I15" s="3"/>
      <c r="J15" s="3">
        <f t="shared" si="1"/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>
        <f t="shared" si="3"/>
        <v>0</v>
      </c>
      <c r="AB15" s="4">
        <f t="shared" si="2"/>
        <v>0</v>
      </c>
    </row>
    <row r="16" spans="1:28" ht="30" customHeight="1">
      <c r="A16" s="10" t="s">
        <v>65</v>
      </c>
      <c r="B16" s="3">
        <v>222205</v>
      </c>
      <c r="C16" s="3"/>
      <c r="D16" s="3"/>
      <c r="E16" s="3"/>
      <c r="F16" s="3"/>
      <c r="G16" s="3"/>
      <c r="H16" s="3"/>
      <c r="I16" s="3"/>
      <c r="J16" s="3">
        <f t="shared" si="1"/>
        <v>222205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>
        <f t="shared" si="3"/>
        <v>0</v>
      </c>
      <c r="AB16" s="4">
        <f t="shared" si="2"/>
        <v>222205</v>
      </c>
    </row>
    <row r="17" spans="1:28" ht="30" customHeight="1">
      <c r="A17" s="10" t="s">
        <v>66</v>
      </c>
      <c r="B17" s="3"/>
      <c r="C17" s="3"/>
      <c r="D17" s="3"/>
      <c r="E17" s="3"/>
      <c r="F17" s="3"/>
      <c r="G17" s="3"/>
      <c r="H17" s="3"/>
      <c r="I17" s="3"/>
      <c r="J17" s="3">
        <f t="shared" si="1"/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>
        <f t="shared" si="3"/>
        <v>0</v>
      </c>
      <c r="AB17" s="4">
        <f t="shared" si="2"/>
        <v>0</v>
      </c>
    </row>
    <row r="18" spans="1:28" ht="30" customHeight="1">
      <c r="A18" s="12" t="s">
        <v>67</v>
      </c>
      <c r="B18" s="3"/>
      <c r="C18" s="3"/>
      <c r="D18" s="3"/>
      <c r="E18" s="3"/>
      <c r="F18" s="3"/>
      <c r="G18" s="3"/>
      <c r="H18" s="3"/>
      <c r="I18" s="3"/>
      <c r="J18" s="3">
        <f t="shared" si="1"/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3"/>
        <v>0</v>
      </c>
      <c r="AB18" s="4">
        <f t="shared" si="2"/>
        <v>0</v>
      </c>
    </row>
    <row r="19" spans="1:28" ht="30" customHeight="1">
      <c r="A19" s="12" t="s">
        <v>68</v>
      </c>
      <c r="B19" s="3"/>
      <c r="C19" s="3"/>
      <c r="D19" s="3"/>
      <c r="E19" s="3"/>
      <c r="F19" s="3"/>
      <c r="G19" s="3"/>
      <c r="H19" s="3"/>
      <c r="I19" s="3"/>
      <c r="J19" s="3">
        <f t="shared" si="1"/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3"/>
        <v>0</v>
      </c>
      <c r="AB19" s="4">
        <f t="shared" si="2"/>
        <v>0</v>
      </c>
    </row>
    <row r="20" spans="1:28" ht="30" customHeight="1">
      <c r="A20" s="10" t="s">
        <v>69</v>
      </c>
      <c r="B20" s="3"/>
      <c r="C20" s="3"/>
      <c r="D20" s="3"/>
      <c r="E20" s="3"/>
      <c r="F20" s="3"/>
      <c r="G20" s="3"/>
      <c r="H20" s="3"/>
      <c r="I20" s="3"/>
      <c r="J20" s="3">
        <f t="shared" si="1"/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3"/>
        <v>0</v>
      </c>
      <c r="AB20" s="4">
        <f t="shared" si="2"/>
        <v>0</v>
      </c>
    </row>
    <row r="21" spans="1:28" ht="30" customHeight="1">
      <c r="A21" s="12" t="s">
        <v>70</v>
      </c>
      <c r="B21" s="3"/>
      <c r="C21" s="3"/>
      <c r="D21" s="3"/>
      <c r="E21" s="3"/>
      <c r="F21" s="3"/>
      <c r="G21" s="3"/>
      <c r="H21" s="3"/>
      <c r="I21" s="3"/>
      <c r="J21" s="3">
        <f t="shared" si="1"/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3"/>
        <v>0</v>
      </c>
      <c r="AB21" s="4">
        <f t="shared" si="2"/>
        <v>0</v>
      </c>
    </row>
    <row r="22" spans="1:28" ht="30" customHeight="1">
      <c r="A22" s="10" t="s">
        <v>71</v>
      </c>
      <c r="B22" s="3"/>
      <c r="C22" s="3"/>
      <c r="D22" s="3"/>
      <c r="E22" s="3"/>
      <c r="F22" s="3"/>
      <c r="G22" s="3"/>
      <c r="H22" s="3"/>
      <c r="I22" s="3"/>
      <c r="J22" s="3">
        <f t="shared" si="1"/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>
        <f t="shared" si="3"/>
        <v>0</v>
      </c>
      <c r="AB22" s="4">
        <f t="shared" si="2"/>
        <v>0</v>
      </c>
    </row>
    <row r="23" spans="1:28" ht="30" customHeight="1">
      <c r="A23" s="10" t="s">
        <v>72</v>
      </c>
      <c r="B23" s="3"/>
      <c r="C23" s="3"/>
      <c r="D23" s="3"/>
      <c r="E23" s="3"/>
      <c r="F23" s="3"/>
      <c r="G23" s="3"/>
      <c r="H23" s="3"/>
      <c r="I23" s="3"/>
      <c r="J23" s="3">
        <f t="shared" si="1"/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>
        <f t="shared" si="3"/>
        <v>0</v>
      </c>
      <c r="AB23" s="4">
        <f t="shared" si="2"/>
        <v>0</v>
      </c>
    </row>
    <row r="24" spans="1:28" ht="30" customHeight="1">
      <c r="A24" s="84" t="s">
        <v>185</v>
      </c>
      <c r="B24" s="3"/>
      <c r="C24" s="3"/>
      <c r="D24" s="3"/>
      <c r="E24" s="3"/>
      <c r="F24" s="3"/>
      <c r="G24" s="3"/>
      <c r="H24" s="3"/>
      <c r="I24" s="3"/>
      <c r="J24" s="3">
        <f>SUM(B24:I24)</f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>
        <f>SUM(K24:Z24)</f>
        <v>0</v>
      </c>
      <c r="AB24" s="4">
        <f t="shared" si="2"/>
        <v>0</v>
      </c>
    </row>
    <row r="25" spans="1:28" ht="30" customHeight="1">
      <c r="A25" s="12" t="s">
        <v>99</v>
      </c>
      <c r="B25" s="3">
        <v>27582</v>
      </c>
      <c r="C25" s="3"/>
      <c r="D25" s="3"/>
      <c r="E25" s="3"/>
      <c r="F25" s="3"/>
      <c r="G25" s="3"/>
      <c r="H25" s="3"/>
      <c r="I25" s="3"/>
      <c r="J25" s="3">
        <f t="shared" si="1"/>
        <v>27582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>
        <f t="shared" si="3"/>
        <v>0</v>
      </c>
      <c r="AB25" s="4">
        <f t="shared" si="2"/>
        <v>27582</v>
      </c>
    </row>
    <row r="26" spans="1:27" ht="48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8" ht="30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85"/>
    </row>
  </sheetData>
  <mergeCells count="1">
    <mergeCell ref="X6:X9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admin</cp:lastModifiedBy>
  <cp:lastPrinted>2010-04-13T00:36:35Z</cp:lastPrinted>
  <dcterms:created xsi:type="dcterms:W3CDTF">1998-10-15T07:55:19Z</dcterms:created>
  <dcterms:modified xsi:type="dcterms:W3CDTF">2010-04-23T07:08:41Z</dcterms:modified>
  <cp:category/>
  <cp:version/>
  <cp:contentType/>
  <cp:contentStatus/>
</cp:coreProperties>
</file>