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<sst xmlns="http://schemas.openxmlformats.org/spreadsheetml/2006/main" count="343" uniqueCount="242">
  <si>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</si>
  <si>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</si>
  <si>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</si>
  <si>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</si>
  <si>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</si>
  <si>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</si>
  <si>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</si>
  <si>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</si>
  <si>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</si>
  <si>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</si>
  <si>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</si>
  <si>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</si>
  <si>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</si>
  <si>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</si>
  <si>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</si>
  <si>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</si>
  <si>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</si>
  <si>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</si>
  <si>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</si>
  <si>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</si>
  <si>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</si>
  <si>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</si>
  <si>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</si>
  <si>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</si>
  <si>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</si>
  <si>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</si>
  <si>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</si>
  <si>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</si>
  <si>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</si>
  <si>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</si>
  <si>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</si>
  <si>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</si>
  <si>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</si>
  <si>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</si>
  <si>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</si>
  <si>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</si>
  <si>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</si>
  <si>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</si>
  <si>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</si>
  <si>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</si>
  <si>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故宮文物藝術發展</t>
  </si>
  <si>
    <t>基金收支餘絀決算表</t>
  </si>
  <si>
    <t>────────</t>
  </si>
  <si>
    <t>─────────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</si>
  <si>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</si>
  <si>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</si>
  <si>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</si>
  <si>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</si>
  <si>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</si>
  <si>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</si>
  <si>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</si>
  <si>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</si>
  <si>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</si>
  <si>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</si>
  <si>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</si>
  <si>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</si>
  <si>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</si>
  <si>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</si>
  <si>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</si>
  <si>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</si>
  <si>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</si>
  <si>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</si>
  <si>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</si>
  <si>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</si>
  <si>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</si>
  <si>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</si>
  <si>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</si>
  <si>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</si>
  <si>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</si>
  <si>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</si>
  <si>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</si>
  <si>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</si>
  <si>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</si>
  <si>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</si>
  <si>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故宮文物藝術發展基金餘絀撥補決算表</t>
  </si>
  <si>
    <t>─────────────────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</si>
  <si>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</si>
  <si>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</si>
  <si>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</si>
  <si>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</si>
  <si>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</si>
  <si>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</si>
  <si>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</si>
  <si>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</si>
  <si>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</si>
  <si>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</si>
  <si>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</si>
  <si>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</si>
  <si>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</si>
  <si>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</si>
  <si>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</si>
  <si>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</si>
  <si>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</si>
  <si>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</si>
  <si>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</si>
  <si>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</si>
  <si>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</si>
  <si>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</si>
  <si>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</si>
  <si>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</si>
  <si>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</si>
  <si>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</si>
  <si>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</si>
  <si>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</si>
  <si>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</si>
  <si>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</si>
  <si>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</si>
  <si>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</si>
  <si>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</si>
  <si>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</si>
  <si>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</si>
  <si>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</si>
  <si>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</si>
  <si>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故宮文物藝術發展基金現金流量決算表</t>
  </si>
  <si>
    <t>────────────────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</si>
  <si>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</si>
  <si>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</si>
  <si>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</si>
  <si>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</si>
  <si>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</si>
  <si>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</si>
  <si>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</si>
  <si>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</si>
  <si>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</si>
  <si>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</si>
  <si>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</si>
  <si>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</si>
  <si>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</si>
  <si>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</si>
  <si>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</si>
  <si>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</si>
  <si>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</si>
  <si>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</si>
  <si>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</si>
  <si>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</si>
  <si>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</si>
  <si>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</si>
  <si>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</si>
  <si>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</si>
  <si>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</si>
  <si>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</si>
  <si>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</si>
  <si>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</si>
  <si>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</si>
  <si>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</si>
  <si>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</si>
  <si>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</si>
  <si>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</si>
  <si>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</si>
  <si>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</si>
  <si>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</si>
  <si>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</si>
  <si>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</si>
  <si>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</si>
  <si>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</si>
  <si>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</si>
  <si>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</si>
  <si>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</si>
  <si>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</si>
  <si>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</si>
  <si>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</si>
  <si>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</si>
  <si>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</si>
  <si>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</si>
  <si>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</si>
  <si>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</si>
  <si>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</si>
  <si>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</si>
  <si>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</si>
  <si>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</si>
  <si>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</si>
  <si>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</si>
  <si>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</si>
  <si>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</si>
  <si>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</si>
  <si>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</si>
  <si>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</si>
  <si>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</si>
  <si>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</si>
  <si>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</si>
  <si>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</si>
  <si>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</si>
  <si>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</si>
  <si>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</si>
  <si>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</si>
  <si>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</si>
  <si>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</si>
  <si>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</si>
  <si>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</si>
  <si>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</si>
  <si>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</si>
  <si>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</si>
  <si>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</si>
  <si>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</si>
  <si>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</si>
  <si>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</si>
  <si>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</si>
  <si>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</si>
  <si>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</si>
  <si>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</si>
  <si>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</si>
  <si>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</si>
  <si>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</si>
  <si>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</si>
  <si>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</si>
  <si>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</si>
  <si>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</si>
  <si>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</si>
  <si>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</si>
  <si>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</si>
  <si>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</si>
  <si>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</si>
  <si>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</si>
  <si>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</si>
  <si>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</si>
  <si>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</si>
  <si>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</si>
  <si>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</si>
  <si>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</si>
  <si>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</si>
  <si>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</si>
  <si>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</si>
  <si>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</si>
  <si>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</si>
  <si>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</si>
  <si>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</si>
  <si>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</si>
  <si>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</si>
  <si>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</si>
  <si>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故宮文物藝術</t>
  </si>
  <si>
    <t>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</si>
  <si>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</si>
  <si>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</si>
  <si>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</si>
  <si>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</si>
  <si>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2,569,580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2,769,580</t>
    </r>
    <r>
      <rPr>
        <sz val="9"/>
        <rFont val="華康中明體"/>
        <family val="3"/>
      </rPr>
      <t>元。</t>
    </r>
  </si>
  <si>
    <t>發展基金平衡表</t>
  </si>
  <si>
    <t>───────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</si>
  <si>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</si>
  <si>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t>科          目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</si>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</sst>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12"/>
      <name val="華康特粗明體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0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1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3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3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vertical="center"/>
      <protection/>
    </xf>
    <xf numFmtId="41" fontId="57" fillId="0" borderId="0" xfId="24" applyFont="1" applyAlignment="1" applyProtection="1">
      <alignment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182" fontId="57" fillId="0" borderId="0" xfId="24" applyNumberFormat="1" applyFont="1" applyAlignment="1" applyProtection="1">
      <alignment horizontal="centerContinuous" vertical="center"/>
      <protection/>
    </xf>
    <xf numFmtId="183" fontId="57" fillId="0" borderId="0" xfId="24" applyNumberFormat="1" applyFont="1" applyAlignment="1" applyProtection="1" quotePrefix="1">
      <alignment horizontal="centerContinuous" vertical="center"/>
      <protection/>
    </xf>
    <xf numFmtId="0" fontId="59" fillId="0" borderId="0" xfId="22" applyFont="1" applyAlignment="1" applyProtection="1">
      <alignment horizontal="right"/>
      <protection/>
    </xf>
    <xf numFmtId="0" fontId="57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1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1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1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1" fillId="3" borderId="16" xfId="22" applyFont="1" applyFill="1" applyBorder="1" applyAlignment="1" applyProtection="1">
      <alignment horizontal="left" vertical="center"/>
      <protection/>
    </xf>
    <xf numFmtId="0" fontId="62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 quotePrefix="1">
      <alignment horizontal="left" vertical="center"/>
      <protection/>
    </xf>
    <xf numFmtId="0" fontId="53" fillId="0" borderId="5" xfId="22" applyFont="1" applyBorder="1" applyAlignment="1" applyProtection="1">
      <alignment horizontal="left" vertical="center"/>
      <protection/>
    </xf>
    <xf numFmtId="182" fontId="63" fillId="0" borderId="5" xfId="22" applyNumberFormat="1" applyFont="1" applyBorder="1" applyAlignment="1" applyProtection="1" quotePrefix="1">
      <alignment horizontal="center" vertical="center"/>
      <protection/>
    </xf>
    <xf numFmtId="182" fontId="63" fillId="0" borderId="5" xfId="22" applyNumberFormat="1" applyFont="1" applyBorder="1" applyAlignment="1" applyProtection="1">
      <alignment horizontal="center" vertical="center"/>
      <protection/>
    </xf>
    <xf numFmtId="0" fontId="63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3" fillId="3" borderId="0" xfId="22" applyFont="1" applyFill="1" applyBorder="1" applyAlignment="1" applyProtection="1" quotePrefix="1">
      <alignment horizontal="left" vertical="center"/>
      <protection/>
    </xf>
    <xf numFmtId="0" fontId="53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4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4" fillId="3" borderId="0" xfId="22" applyFont="1" applyFill="1" applyBorder="1" applyAlignment="1" applyProtection="1">
      <alignment vertical="center"/>
      <protection/>
    </xf>
    <xf numFmtId="0" fontId="64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9" fillId="0" borderId="0" xfId="22" applyFont="1" applyAlignment="1" applyProtection="1">
      <alignment vertical="center"/>
      <protection/>
    </xf>
    <xf numFmtId="41" fontId="70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6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4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1" fillId="3" borderId="0" xfId="22" applyFont="1" applyFill="1" applyAlignment="1" applyProtection="1">
      <alignment vertical="center"/>
      <protection/>
    </xf>
    <xf numFmtId="0" fontId="71" fillId="0" borderId="21" xfId="22" applyFont="1" applyBorder="1" applyAlignment="1" applyProtection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2" fillId="0" borderId="0" xfId="22" applyFont="1" applyAlignment="1" applyProtection="1">
      <alignment horizontal="right" vertical="center"/>
      <protection/>
    </xf>
    <xf numFmtId="0" fontId="72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3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7" fillId="0" borderId="0" xfId="22" applyFont="1" applyAlignment="1" applyProtection="1">
      <alignment horizontal="left"/>
      <protection/>
    </xf>
    <xf numFmtId="0" fontId="74" fillId="3" borderId="0" xfId="22" applyFont="1" applyFill="1" applyAlignment="1" applyProtection="1">
      <alignment horizontal="left" vertical="center"/>
      <protection/>
    </xf>
    <xf numFmtId="41" fontId="57" fillId="3" borderId="0" xfId="24" applyFont="1" applyFill="1" applyAlignment="1" applyProtection="1">
      <alignment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0" fontId="60" fillId="0" borderId="21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5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1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64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4" fillId="0" borderId="7" xfId="22" applyFont="1" applyBorder="1" applyAlignment="1" applyProtection="1">
      <alignment vertical="center"/>
      <protection/>
    </xf>
    <xf numFmtId="0" fontId="64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1" fillId="0" borderId="0" xfId="22" applyFont="1" applyAlignment="1">
      <alignment vertical="center"/>
      <protection/>
    </xf>
    <xf numFmtId="182" fontId="66" fillId="0" borderId="0" xfId="22" applyNumberFormat="1" applyFont="1" applyAlignment="1">
      <alignment vertical="center"/>
      <protection/>
    </xf>
    <xf numFmtId="182" fontId="79" fillId="0" borderId="0" xfId="22" applyNumberFormat="1" applyFont="1" applyAlignment="1">
      <alignment vertical="center"/>
      <protection/>
    </xf>
    <xf numFmtId="183" fontId="66" fillId="0" borderId="0" xfId="22" applyNumberFormat="1" applyFont="1" applyAlignment="1">
      <alignment vertical="center"/>
      <protection/>
    </xf>
    <xf numFmtId="0" fontId="66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1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1" fillId="0" borderId="0" xfId="22" applyFont="1">
      <alignment/>
      <protection/>
    </xf>
    <xf numFmtId="182" fontId="66" fillId="0" borderId="0" xfId="22" applyNumberFormat="1" applyFont="1">
      <alignment/>
      <protection/>
    </xf>
    <xf numFmtId="182" fontId="79" fillId="0" borderId="0" xfId="22" applyNumberFormat="1" applyFont="1">
      <alignment/>
      <protection/>
    </xf>
    <xf numFmtId="183" fontId="66" fillId="0" borderId="0" xfId="22" applyNumberFormat="1" applyFont="1">
      <alignment/>
      <protection/>
    </xf>
    <xf numFmtId="0" fontId="66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1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M55"/>
  <sheetViews>
    <sheetView showGridLines="0" zoomScale="60" zoomScaleNormal="60" workbookViewId="0" topLeftCell="A1">
      <pane xSplit="4" ySplit="6" topLeftCell="E7" activePane="bottomRight" state="frozen"/>
      <selection pane="topLeft" activeCell="A2" sqref="A1:IV16384"/>
      <selection pane="topRight" activeCell="A2" sqref="A1:IV16384"/>
      <selection pane="bottomLeft" activeCell="A2" sqref="A1:IV16384"/>
      <selection pane="bottomRight"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106644000</v>
      </c>
      <c r="F7" s="42">
        <f>IF(E$7=0,0,E7/E$7*100)</f>
        <v>100</v>
      </c>
      <c r="G7" s="42">
        <f>SUM(G9:G18)</f>
        <v>114424690</v>
      </c>
      <c r="H7" s="43">
        <f>IF(G$7=0,0,G7/G$7*100)</f>
        <v>100</v>
      </c>
      <c r="I7" s="44">
        <f>SUM(I9:I18)</f>
        <v>0</v>
      </c>
      <c r="J7" s="42">
        <f>SUM(J9:J18)</f>
        <v>114424690</v>
      </c>
      <c r="K7" s="42">
        <f>IF(J$7=0,0,J7/J$7*100)</f>
        <v>100</v>
      </c>
      <c r="L7" s="44">
        <f>SUM(L9:L18)</f>
        <v>7780690</v>
      </c>
      <c r="M7" s="45">
        <f>IF(E7=0,0,(L7/E7)*100)</f>
        <v>7.3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8">IF(E$7=0,0,E9/E$7*100)</f>
        <v>0</v>
      </c>
      <c r="G9" s="56"/>
      <c r="H9" s="51">
        <f aca="true" t="shared" si="1" ref="H9:H18">IF(G$7=0,0,G9/G$7*100)</f>
        <v>0</v>
      </c>
      <c r="I9" s="57"/>
      <c r="J9" s="50">
        <f aca="true" t="shared" si="2" ref="J9:J18">G9+I9</f>
        <v>0</v>
      </c>
      <c r="K9" s="50">
        <f aca="true" t="shared" si="3" ref="K9:K18">IF(J$7=0,0,J9/J$7*100)</f>
        <v>0</v>
      </c>
      <c r="L9" s="52">
        <f aca="true" t="shared" si="4" ref="L9:L18">J9-E9</f>
        <v>0</v>
      </c>
      <c r="M9" s="53">
        <f aca="true" t="shared" si="5" ref="M9:M18">IF(E9=0,0,(L9/E9)*100)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>
        <v>106644000</v>
      </c>
      <c r="F10" s="50">
        <f t="shared" si="0"/>
        <v>100</v>
      </c>
      <c r="G10" s="56">
        <v>114424690</v>
      </c>
      <c r="H10" s="51">
        <f t="shared" si="1"/>
        <v>100</v>
      </c>
      <c r="I10" s="57"/>
      <c r="J10" s="50">
        <f t="shared" si="2"/>
        <v>114424690</v>
      </c>
      <c r="K10" s="50">
        <f t="shared" si="3"/>
        <v>100</v>
      </c>
      <c r="L10" s="52">
        <f t="shared" si="4"/>
        <v>7780690</v>
      </c>
      <c r="M10" s="53">
        <f t="shared" si="5"/>
        <v>7.3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3">
        <f t="shared" si="5"/>
        <v>0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3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/>
      <c r="F18" s="50">
        <f t="shared" si="0"/>
        <v>0</v>
      </c>
      <c r="G18" s="56"/>
      <c r="H18" s="51">
        <f t="shared" si="1"/>
        <v>0</v>
      </c>
      <c r="I18" s="57"/>
      <c r="J18" s="50">
        <f t="shared" si="2"/>
        <v>0</v>
      </c>
      <c r="K18" s="50">
        <f t="shared" si="3"/>
        <v>0</v>
      </c>
      <c r="L18" s="52">
        <f t="shared" si="4"/>
        <v>0</v>
      </c>
      <c r="M18" s="53">
        <f t="shared" si="5"/>
        <v>0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80846000</v>
      </c>
      <c r="F20" s="42">
        <f>IF(E$7=0,0,E20/E$7*100)</f>
        <v>75.81</v>
      </c>
      <c r="G20" s="42">
        <f>SUM(G22:G34)</f>
        <v>81802676.72</v>
      </c>
      <c r="H20" s="43">
        <f>IF(G$7=0,0,G20/G$7*100)</f>
        <v>71.49</v>
      </c>
      <c r="I20" s="44">
        <f>SUM(I22:I34)</f>
        <v>0</v>
      </c>
      <c r="J20" s="42">
        <f>SUM(J22:J34)</f>
        <v>81802676.72</v>
      </c>
      <c r="K20" s="42">
        <f>IF(J$7=0,0,J20/J$7*100)</f>
        <v>71.49</v>
      </c>
      <c r="L20" s="44">
        <f>SUM(L22:L34)</f>
        <v>956676.72</v>
      </c>
      <c r="M20" s="45">
        <f>IF(E20=0,0,(L20/E20)*100)</f>
        <v>1.18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/>
      <c r="F22" s="50">
        <f aca="true" t="shared" si="6" ref="F22:F34">IF(E$7=0,0,E22/E$7*100)</f>
        <v>0</v>
      </c>
      <c r="G22" s="56"/>
      <c r="H22" s="51">
        <f aca="true" t="shared" si="7" ref="H22:H34">IF(G$7=0,0,G22/G$7*100)</f>
        <v>0</v>
      </c>
      <c r="I22" s="57"/>
      <c r="J22" s="50">
        <f aca="true" t="shared" si="8" ref="J22:J34">G22+I22</f>
        <v>0</v>
      </c>
      <c r="K22" s="50">
        <f aca="true" t="shared" si="9" ref="K22:K34">IF(J$7=0,0,J22/J$7*100)</f>
        <v>0</v>
      </c>
      <c r="L22" s="52">
        <f aca="true" t="shared" si="10" ref="L22:L34">J22-E22</f>
        <v>0</v>
      </c>
      <c r="M22" s="53">
        <f aca="true" t="shared" si="11" ref="M22:M34">IF(E22=0,0,(L22/E22)*100)</f>
        <v>0</v>
      </c>
    </row>
    <row r="23" spans="1:13" s="2" customFormat="1" ht="17.25" customHeight="1">
      <c r="A23" s="46"/>
      <c r="B23" s="54" t="s">
        <v>20</v>
      </c>
      <c r="C23" s="55"/>
      <c r="D23" s="49"/>
      <c r="E23" s="56">
        <v>72090000</v>
      </c>
      <c r="F23" s="50">
        <f t="shared" si="6"/>
        <v>67.6</v>
      </c>
      <c r="G23" s="56">
        <v>76171627.9</v>
      </c>
      <c r="H23" s="51">
        <f t="shared" si="7"/>
        <v>66.57</v>
      </c>
      <c r="I23" s="57"/>
      <c r="J23" s="50">
        <f t="shared" si="8"/>
        <v>76171627.9</v>
      </c>
      <c r="K23" s="50">
        <f t="shared" si="9"/>
        <v>66.57</v>
      </c>
      <c r="L23" s="52">
        <f t="shared" si="10"/>
        <v>4081627.9</v>
      </c>
      <c r="M23" s="53">
        <f t="shared" si="11"/>
        <v>5.66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3">
        <f t="shared" si="11"/>
        <v>0</v>
      </c>
    </row>
    <row r="27" spans="1:13" s="2" customFormat="1" ht="17.25" customHeight="1">
      <c r="A27" s="46"/>
      <c r="B27" s="54" t="s">
        <v>24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3">
        <f t="shared" si="11"/>
        <v>0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>
        <v>5202000</v>
      </c>
      <c r="F30" s="50">
        <f t="shared" si="6"/>
        <v>4.88</v>
      </c>
      <c r="G30" s="56">
        <v>2831934.82</v>
      </c>
      <c r="H30" s="51">
        <f t="shared" si="7"/>
        <v>2.47</v>
      </c>
      <c r="I30" s="57"/>
      <c r="J30" s="50">
        <f t="shared" si="8"/>
        <v>2831934.82</v>
      </c>
      <c r="K30" s="50">
        <f t="shared" si="9"/>
        <v>2.47</v>
      </c>
      <c r="L30" s="52">
        <f t="shared" si="10"/>
        <v>-2370065.18</v>
      </c>
      <c r="M30" s="53">
        <f t="shared" si="11"/>
        <v>-45.56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3054000</v>
      </c>
      <c r="F31" s="50">
        <f t="shared" si="6"/>
        <v>2.86</v>
      </c>
      <c r="G31" s="56">
        <v>2799114</v>
      </c>
      <c r="H31" s="51">
        <f t="shared" si="7"/>
        <v>2.45</v>
      </c>
      <c r="I31" s="57"/>
      <c r="J31" s="50">
        <f t="shared" si="8"/>
        <v>2799114</v>
      </c>
      <c r="K31" s="50">
        <f t="shared" si="9"/>
        <v>2.45</v>
      </c>
      <c r="L31" s="52">
        <f t="shared" si="10"/>
        <v>-254886</v>
      </c>
      <c r="M31" s="53">
        <f t="shared" si="11"/>
        <v>-8.35</v>
      </c>
    </row>
    <row r="32" spans="1:13" s="2" customFormat="1" ht="17.25" customHeight="1">
      <c r="A32" s="46"/>
      <c r="B32" s="54" t="s">
        <v>29</v>
      </c>
      <c r="C32" s="55"/>
      <c r="D32" s="49"/>
      <c r="E32" s="56">
        <v>500000</v>
      </c>
      <c r="F32" s="50">
        <f t="shared" si="6"/>
        <v>0.47</v>
      </c>
      <c r="G32" s="56">
        <v>0</v>
      </c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-500000</v>
      </c>
      <c r="M32" s="53">
        <f t="shared" si="11"/>
        <v>-100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/>
      <c r="F34" s="50">
        <f t="shared" si="6"/>
        <v>0</v>
      </c>
      <c r="G34" s="56"/>
      <c r="H34" s="51">
        <f t="shared" si="7"/>
        <v>0</v>
      </c>
      <c r="I34" s="57"/>
      <c r="J34" s="50">
        <f t="shared" si="8"/>
        <v>0</v>
      </c>
      <c r="K34" s="50">
        <f t="shared" si="9"/>
        <v>0</v>
      </c>
      <c r="L34" s="52">
        <f t="shared" si="10"/>
        <v>0</v>
      </c>
      <c r="M34" s="53">
        <f t="shared" si="11"/>
        <v>0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25798000</v>
      </c>
      <c r="F36" s="42">
        <f>IF(E$7=0,0,E36/E$7*100)</f>
        <v>24.19</v>
      </c>
      <c r="G36" s="42">
        <f>G7-G20</f>
        <v>32622013.28</v>
      </c>
      <c r="H36" s="43">
        <f>IF(G$7=0,0,G36/G$7*100)</f>
        <v>28.51</v>
      </c>
      <c r="I36" s="44">
        <f>I7-I20</f>
        <v>0</v>
      </c>
      <c r="J36" s="42">
        <f>J7-J20</f>
        <v>32622013.28</v>
      </c>
      <c r="K36" s="42">
        <f>IF(J$7=0,0,J36/J$7*100)</f>
        <v>28.51</v>
      </c>
      <c r="L36" s="44">
        <f>L7-L20</f>
        <v>6824013.28</v>
      </c>
      <c r="M36" s="45">
        <f>IF(E36=0,0,(L36/E36)*100)</f>
        <v>26.45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2946000</v>
      </c>
      <c r="F38" s="42">
        <f>IF(E$7=0,0,E38/E$7*100)</f>
        <v>2.76</v>
      </c>
      <c r="G38" s="42">
        <f>SUM(G40:G41)</f>
        <v>6221808.25</v>
      </c>
      <c r="H38" s="43">
        <f>IF(G$7=0,0,G38/G$7*100)</f>
        <v>5.44</v>
      </c>
      <c r="I38" s="44">
        <f>SUM(I40:I41)</f>
        <v>0</v>
      </c>
      <c r="J38" s="42">
        <f>SUM(J40:J41)</f>
        <v>6221808.25</v>
      </c>
      <c r="K38" s="42">
        <f>IF(J$7=0,0,J38/J$7*100)</f>
        <v>5.44</v>
      </c>
      <c r="L38" s="44">
        <f>SUM(L40:L41)</f>
        <v>3275808.25</v>
      </c>
      <c r="M38" s="45">
        <f>IF(E38=0,0,(L38/E38)*100)</f>
        <v>111.2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2946000</v>
      </c>
      <c r="F40" s="50">
        <f>IF(E$7=0,0,E40/E$7*100)</f>
        <v>2.76</v>
      </c>
      <c r="G40" s="56">
        <v>3563266</v>
      </c>
      <c r="H40" s="51">
        <f>IF(G$7=0,0,G40/G$7*100)</f>
        <v>3.11</v>
      </c>
      <c r="I40" s="57"/>
      <c r="J40" s="50">
        <f>G40+I40</f>
        <v>3563266</v>
      </c>
      <c r="K40" s="50">
        <f>IF(J$7=0,0,J40/J$7*100)</f>
        <v>3.11</v>
      </c>
      <c r="L40" s="52">
        <f>J40-E40</f>
        <v>617266</v>
      </c>
      <c r="M40" s="53">
        <f>IF(E40=0,0,(L40/E40)*100)</f>
        <v>20.95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0</v>
      </c>
      <c r="F41" s="50">
        <f>IF(E$7=0,0,E41/E$7*100)</f>
        <v>0</v>
      </c>
      <c r="G41" s="56">
        <v>2658542.25</v>
      </c>
      <c r="H41" s="51">
        <f>IF(G$7=0,0,G41/G$7*100)</f>
        <v>2.32</v>
      </c>
      <c r="I41" s="57"/>
      <c r="J41" s="50">
        <f>G41+I41</f>
        <v>2658542.25</v>
      </c>
      <c r="K41" s="50">
        <f>IF(J$7=0,0,J41/J$7*100)</f>
        <v>2.32</v>
      </c>
      <c r="L41" s="52">
        <f>J41-E41</f>
        <v>2658542.25</v>
      </c>
      <c r="M41" s="53">
        <f>IF(E41=0,0,(L41/E41)*100)</f>
        <v>0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3100000</v>
      </c>
      <c r="F43" s="42">
        <f>IF(E$7=0,0,E43/E$7*100)</f>
        <v>2.91</v>
      </c>
      <c r="G43" s="42">
        <f>SUM(G45:G46)</f>
        <v>4993916.86</v>
      </c>
      <c r="H43" s="43">
        <f>IF(G$7=0,0,G43/G$7*100)</f>
        <v>4.36</v>
      </c>
      <c r="I43" s="44">
        <f>SUM(I45:I46)</f>
        <v>0</v>
      </c>
      <c r="J43" s="42">
        <f>SUM(J45:J46)</f>
        <v>4993916.86</v>
      </c>
      <c r="K43" s="42">
        <f>IF(J$7=0,0,J43/J$7*100)</f>
        <v>4.36</v>
      </c>
      <c r="L43" s="44">
        <f>SUM(L45:L46)</f>
        <v>1893916.86</v>
      </c>
      <c r="M43" s="45">
        <f>IF(E43=0,0,(L43/E43)*100)</f>
        <v>61.09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/>
      <c r="H45" s="51">
        <f>IF(G$7=0,0,G45/G$7*100)</f>
        <v>0</v>
      </c>
      <c r="I45" s="57"/>
      <c r="J45" s="50">
        <f>G45+I45</f>
        <v>0</v>
      </c>
      <c r="K45" s="50">
        <f>IF(J$7=0,0,J45/J$7*100)</f>
        <v>0</v>
      </c>
      <c r="L45" s="52">
        <f>J45-E45</f>
        <v>0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>
        <v>3100000</v>
      </c>
      <c r="F46" s="50">
        <f>IF(E$7=0,0,E46/E$7*100)</f>
        <v>2.91</v>
      </c>
      <c r="G46" s="56">
        <v>4993916.86</v>
      </c>
      <c r="H46" s="51">
        <f>IF(G$7=0,0,G46/G$7*100)</f>
        <v>4.36</v>
      </c>
      <c r="I46" s="57"/>
      <c r="J46" s="50">
        <f>G46+I46</f>
        <v>4993916.86</v>
      </c>
      <c r="K46" s="50">
        <f>IF(J$7=0,0,J46/J$7*100)</f>
        <v>4.36</v>
      </c>
      <c r="L46" s="52">
        <f>J46-E46</f>
        <v>1893916.86</v>
      </c>
      <c r="M46" s="53">
        <f>IF(E46=0,0,(L46/E46)*100)</f>
        <v>61.09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-154000</v>
      </c>
      <c r="F49" s="42">
        <f>IF(E$7=0,0,E49/E$7*100)</f>
        <v>-0.14</v>
      </c>
      <c r="G49" s="42">
        <f>G38-G43</f>
        <v>1227891.39</v>
      </c>
      <c r="H49" s="43">
        <f>IF(G$7=0,0,G49/G$7*100)</f>
        <v>1.07</v>
      </c>
      <c r="I49" s="44">
        <f>I38-I43</f>
        <v>0</v>
      </c>
      <c r="J49" s="42">
        <f>J38-J43</f>
        <v>1227891.39</v>
      </c>
      <c r="K49" s="42">
        <f>IF(J$7=0,0,J49/J$7*100)</f>
        <v>1.07</v>
      </c>
      <c r="L49" s="44">
        <f>L38-L43</f>
        <v>1381891.39</v>
      </c>
      <c r="M49" s="45">
        <f>IF(E49=0,0,(L49/E49)*100)</f>
        <v>-897.33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25644000</v>
      </c>
      <c r="F53" s="75">
        <f>IF(E$7=0,0,E53/E$7*100)</f>
        <v>24.05</v>
      </c>
      <c r="G53" s="75">
        <f>G36+G49+G51</f>
        <v>33849904.67</v>
      </c>
      <c r="H53" s="76">
        <f>IF(G$7=0,0,G53/G$7*100)</f>
        <v>29.58</v>
      </c>
      <c r="I53" s="77">
        <f>I36+I49+I51</f>
        <v>0</v>
      </c>
      <c r="J53" s="75">
        <f>J36+J49+J51</f>
        <v>33849904.67</v>
      </c>
      <c r="K53" s="75">
        <f>IF(J$7=0,0,J53/J$7*100)</f>
        <v>29.58</v>
      </c>
      <c r="L53" s="77">
        <f>L36+L49+L51</f>
        <v>8205904.67</v>
      </c>
      <c r="M53" s="78">
        <f>IF(E53=0,0,(L53/E53)*100)</f>
        <v>32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J45"/>
  <sheetViews>
    <sheetView showGridLines="0" workbookViewId="0" topLeftCell="A19">
      <selection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25644000</v>
      </c>
      <c r="F7" s="120">
        <f>SUM(F9:F11)</f>
        <v>36236141.78</v>
      </c>
      <c r="G7" s="121">
        <f>SUM(G9:G11)</f>
        <v>0</v>
      </c>
      <c r="H7" s="120">
        <f>SUM(H9:H11)</f>
        <v>36236141.78</v>
      </c>
      <c r="I7" s="122">
        <f>H7-E7</f>
        <v>10592141.78</v>
      </c>
      <c r="J7" s="123">
        <f>IF(E7&gt;0,((I7/E7)*100),0)</f>
        <v>41.3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>
        <v>25644000</v>
      </c>
      <c r="F9" s="136">
        <v>33849904.67</v>
      </c>
      <c r="G9" s="137"/>
      <c r="H9" s="131">
        <f>F9+G9</f>
        <v>33849904.67</v>
      </c>
      <c r="I9" s="132">
        <f>H9-E9</f>
        <v>8205904.67</v>
      </c>
      <c r="J9" s="133">
        <f>IF(E9&gt;0,((I9/E9)*100),0)</f>
        <v>32</v>
      </c>
    </row>
    <row r="10" spans="1:10" s="134" customFormat="1" ht="21.75" customHeight="1">
      <c r="A10" s="125"/>
      <c r="B10" s="135" t="s">
        <v>54</v>
      </c>
      <c r="C10" s="135"/>
      <c r="D10" s="128"/>
      <c r="E10" s="136"/>
      <c r="F10" s="136">
        <v>2386237.11</v>
      </c>
      <c r="G10" s="137"/>
      <c r="H10" s="136">
        <f>F10+G10</f>
        <v>2386237.11</v>
      </c>
      <c r="I10" s="132">
        <f>H10-E10</f>
        <v>2386237.11</v>
      </c>
      <c r="J10" s="133">
        <f>IF(E10&gt;0,((I10/E10)*100),0)</f>
        <v>0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25644000</v>
      </c>
      <c r="F13" s="120">
        <f>SUM(F15:F19)</f>
        <v>25644000</v>
      </c>
      <c r="G13" s="121">
        <f>SUM(G15:G19)</f>
        <v>0</v>
      </c>
      <c r="H13" s="138">
        <f>SUM(H15:H19)</f>
        <v>25644000</v>
      </c>
      <c r="I13" s="122">
        <f>H13-E13</f>
        <v>0</v>
      </c>
      <c r="J13" s="123">
        <f>IF(E13&gt;0,((I13/E13)*100),0)</f>
        <v>0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/>
      <c r="F15" s="136"/>
      <c r="G15" s="137"/>
      <c r="H15" s="131">
        <f>F15+G15</f>
        <v>0</v>
      </c>
      <c r="I15" s="132">
        <f>H15-E15</f>
        <v>0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58</v>
      </c>
      <c r="C16" s="135"/>
      <c r="D16" s="128"/>
      <c r="E16" s="136">
        <v>17951000</v>
      </c>
      <c r="F16" s="136">
        <v>17951000</v>
      </c>
      <c r="G16" s="137"/>
      <c r="H16" s="131">
        <f>F16+G16</f>
        <v>17951000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59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>
        <v>7693000</v>
      </c>
      <c r="F18" s="136">
        <v>7693000</v>
      </c>
      <c r="G18" s="137"/>
      <c r="H18" s="131">
        <f>F18+G18</f>
        <v>7693000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0</v>
      </c>
      <c r="F21" s="120">
        <f>F7-F13</f>
        <v>10592141.78</v>
      </c>
      <c r="G21" s="121">
        <f>G7-G13</f>
        <v>0</v>
      </c>
      <c r="H21" s="138">
        <f>H7-H13</f>
        <v>10592141.78</v>
      </c>
      <c r="I21" s="122">
        <f>H21-E21</f>
        <v>10592141.78</v>
      </c>
      <c r="J21" s="123">
        <f>IF(E21&gt;0,((I21/E21)*100),0)</f>
        <v>0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0</v>
      </c>
      <c r="F23" s="120">
        <f>SUM(F25:F26)</f>
        <v>0</v>
      </c>
      <c r="G23" s="121">
        <f>SUM(G25:G26)</f>
        <v>0</v>
      </c>
      <c r="H23" s="138">
        <f>SUM(H25:H26)</f>
        <v>0</v>
      </c>
      <c r="I23" s="122">
        <f>H23-E23</f>
        <v>0</v>
      </c>
      <c r="J23" s="123">
        <f>IF(E23&gt;0,((I23/E23)*100),0)</f>
        <v>0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/>
      <c r="F25" s="136"/>
      <c r="G25" s="137"/>
      <c r="H25" s="131">
        <f>F25+G25</f>
        <v>0</v>
      </c>
      <c r="I25" s="132">
        <f>H25-E25</f>
        <v>0</v>
      </c>
      <c r="J25" s="133">
        <f>IF(E25&gt;0,((I25/E25)*100),0)</f>
        <v>0</v>
      </c>
    </row>
    <row r="26" spans="1:10" s="134" customFormat="1" ht="21.75" customHeight="1">
      <c r="A26" s="125"/>
      <c r="B26" s="135" t="s">
        <v>65</v>
      </c>
      <c r="C26" s="135"/>
      <c r="D26" s="128"/>
      <c r="E26" s="136"/>
      <c r="F26" s="136"/>
      <c r="G26" s="137"/>
      <c r="H26" s="131">
        <f>F26+G26</f>
        <v>0</v>
      </c>
      <c r="I26" s="132">
        <f>H26-E26</f>
        <v>0</v>
      </c>
      <c r="J26" s="133">
        <f>IF(E26&gt;0,((I26/E26)*100),0)</f>
        <v>0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0</v>
      </c>
      <c r="F29" s="120">
        <f>SUM(F31:F34)</f>
        <v>0</v>
      </c>
      <c r="G29" s="121">
        <f>SUM(G31:G34)</f>
        <v>0</v>
      </c>
      <c r="H29" s="138">
        <f>SUM(H31:H34)</f>
        <v>0</v>
      </c>
      <c r="I29" s="122">
        <f>H29-E29</f>
        <v>0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/>
      <c r="F31" s="136"/>
      <c r="G31" s="137"/>
      <c r="H31" s="131">
        <f>F31+G31</f>
        <v>0</v>
      </c>
      <c r="I31" s="132">
        <f>H31-E31</f>
        <v>0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0</v>
      </c>
      <c r="F37" s="120">
        <f>F23-F29</f>
        <v>0</v>
      </c>
      <c r="G37" s="121">
        <f>G23-G29</f>
        <v>0</v>
      </c>
      <c r="H37" s="120">
        <f>H23-H29</f>
        <v>0</v>
      </c>
      <c r="I37" s="122">
        <f>H37-E37</f>
        <v>0</v>
      </c>
      <c r="J37" s="123">
        <f>IF(E37&gt;0,((I37/E37)*100),0)</f>
        <v>0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"/>
  <dimension ref="A1:I51"/>
  <sheetViews>
    <sheetView showGridLines="0" zoomScale="60" zoomScaleNormal="60" workbookViewId="0" topLeftCell="A1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25644000</v>
      </c>
      <c r="F9" s="207">
        <v>33849904.67</v>
      </c>
      <c r="G9" s="208">
        <f>F9-E9</f>
        <v>8205904.67</v>
      </c>
      <c r="H9" s="203">
        <f>IF(E9=0,0,((G9/E9)*100))</f>
        <v>32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12072000</v>
      </c>
      <c r="F10" s="207">
        <v>14919557.33</v>
      </c>
      <c r="G10" s="208">
        <f>F10-E10</f>
        <v>2847557.33</v>
      </c>
      <c r="H10" s="203">
        <f>IF(E10=0,0,((G10/E10)*100))</f>
        <v>23.59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37716000</v>
      </c>
      <c r="F12" s="194">
        <f>SUM(F9:F10)</f>
        <v>48769462</v>
      </c>
      <c r="G12" s="213">
        <f>F12-E12</f>
        <v>11053462</v>
      </c>
      <c r="H12" s="196">
        <f>IF(E12=0,0,((G12/E12)*100))</f>
        <v>29.31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/>
      <c r="F16" s="207"/>
      <c r="G16" s="208">
        <f aca="true" t="shared" si="0" ref="G16:G25">F16-E16</f>
        <v>0</v>
      </c>
      <c r="H16" s="203">
        <f aca="true" t="shared" si="1" ref="H16:H25">IF(E16=0,0,((G16/E16)*100))</f>
        <v>0</v>
      </c>
    </row>
    <row r="17" spans="1:8" s="174" customFormat="1" ht="14.25" customHeight="1">
      <c r="A17" s="217"/>
      <c r="B17" s="204" t="s">
        <v>88</v>
      </c>
      <c r="C17" s="205"/>
      <c r="D17" s="200"/>
      <c r="E17" s="207"/>
      <c r="F17" s="207"/>
      <c r="G17" s="208">
        <f t="shared" si="0"/>
        <v>0</v>
      </c>
      <c r="H17" s="203">
        <f t="shared" si="1"/>
        <v>0</v>
      </c>
    </row>
    <row r="18" spans="1:8" s="174" customFormat="1" ht="14.25" customHeight="1">
      <c r="A18" s="217"/>
      <c r="B18" s="204" t="s">
        <v>89</v>
      </c>
      <c r="C18" s="205"/>
      <c r="D18" s="200"/>
      <c r="E18" s="207"/>
      <c r="F18" s="207"/>
      <c r="G18" s="208">
        <f t="shared" si="0"/>
        <v>0</v>
      </c>
      <c r="H18" s="203">
        <f t="shared" si="1"/>
        <v>0</v>
      </c>
    </row>
    <row r="19" spans="1:8" s="174" customFormat="1" ht="14.25" customHeight="1">
      <c r="A19" s="217"/>
      <c r="B19" s="204" t="s">
        <v>90</v>
      </c>
      <c r="C19" s="205"/>
      <c r="D19" s="220"/>
      <c r="E19" s="207"/>
      <c r="F19" s="207"/>
      <c r="G19" s="208">
        <f t="shared" si="0"/>
        <v>0</v>
      </c>
      <c r="H19" s="203">
        <f t="shared" si="1"/>
        <v>0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/>
      <c r="F21" s="207"/>
      <c r="G21" s="208">
        <f t="shared" si="0"/>
        <v>0</v>
      </c>
      <c r="H21" s="203">
        <f t="shared" si="1"/>
        <v>0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/>
      <c r="F22" s="207"/>
      <c r="G22" s="208">
        <f t="shared" si="0"/>
        <v>0</v>
      </c>
      <c r="H22" s="203">
        <f t="shared" si="1"/>
        <v>0</v>
      </c>
    </row>
    <row r="23" spans="1:8" s="174" customFormat="1" ht="14.25" customHeight="1">
      <c r="A23" s="197"/>
      <c r="B23" s="204" t="s">
        <v>94</v>
      </c>
      <c r="C23" s="222"/>
      <c r="D23" s="200"/>
      <c r="E23" s="207">
        <v>-25450000</v>
      </c>
      <c r="F23" s="207">
        <v>-24048937</v>
      </c>
      <c r="G23" s="208">
        <f t="shared" si="0"/>
        <v>1401063</v>
      </c>
      <c r="H23" s="203">
        <f t="shared" si="1"/>
        <v>-5.51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/>
      <c r="F24" s="207"/>
      <c r="G24" s="208">
        <f t="shared" si="0"/>
        <v>0</v>
      </c>
      <c r="H24" s="203">
        <f t="shared" si="1"/>
        <v>0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-25450000</v>
      </c>
      <c r="F27" s="194">
        <f>SUM(F16:F25)</f>
        <v>-24048937</v>
      </c>
      <c r="G27" s="213">
        <f>F27-E27</f>
        <v>1401063</v>
      </c>
      <c r="H27" s="196">
        <f>IF(E27=0,0,((G27/E27)*100))</f>
        <v>-5.51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/>
      <c r="F31" s="207">
        <v>5612597</v>
      </c>
      <c r="G31" s="208">
        <f aca="true" t="shared" si="2" ref="G31:G39">F31-E31</f>
        <v>5612597</v>
      </c>
      <c r="H31" s="203">
        <f aca="true" t="shared" si="3" ref="H31:H39">IF(E31=0,0,((G31/E31)*100))</f>
        <v>0</v>
      </c>
    </row>
    <row r="32" spans="1:8" s="174" customFormat="1" ht="14.25" customHeight="1">
      <c r="A32" s="197"/>
      <c r="B32" s="204" t="s">
        <v>101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102</v>
      </c>
      <c r="C33" s="222"/>
      <c r="D33" s="200"/>
      <c r="E33" s="207">
        <v>15000000</v>
      </c>
      <c r="F33" s="207">
        <v>11712609</v>
      </c>
      <c r="G33" s="208">
        <f t="shared" si="2"/>
        <v>-3287391</v>
      </c>
      <c r="H33" s="203">
        <f t="shared" si="3"/>
        <v>-21.92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>
        <v>-539000</v>
      </c>
      <c r="F35" s="207">
        <v>-3352180</v>
      </c>
      <c r="G35" s="208">
        <f t="shared" si="2"/>
        <v>-2813180</v>
      </c>
      <c r="H35" s="203">
        <f t="shared" si="3"/>
        <v>521.93</v>
      </c>
    </row>
    <row r="36" spans="1:8" s="174" customFormat="1" ht="14.25" customHeight="1">
      <c r="A36" s="197"/>
      <c r="B36" s="204" t="s">
        <v>105</v>
      </c>
      <c r="C36" s="222"/>
      <c r="D36" s="200"/>
      <c r="E36" s="207"/>
      <c r="F36" s="207"/>
      <c r="G36" s="208">
        <f t="shared" si="2"/>
        <v>0</v>
      </c>
      <c r="H36" s="203">
        <f t="shared" si="3"/>
        <v>0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>
        <v>-7693000</v>
      </c>
      <c r="F38" s="207">
        <v>-7693000</v>
      </c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6768000</v>
      </c>
      <c r="F41" s="194">
        <f>SUM(F31:F39)</f>
        <v>6280026</v>
      </c>
      <c r="G41" s="213">
        <f>F41-E41</f>
        <v>-487974</v>
      </c>
      <c r="H41" s="196">
        <f>IF(E41=0,0,((G41/E41)*100))</f>
        <v>-7.21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19034000</v>
      </c>
      <c r="F45" s="194">
        <f>F12+F27+F41+F43</f>
        <v>31000551</v>
      </c>
      <c r="G45" s="213">
        <f>F45-E45</f>
        <v>11966551</v>
      </c>
      <c r="H45" s="196">
        <f>IF(E45=0,0,((G45/E45)*100))</f>
        <v>62.87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253057000</v>
      </c>
      <c r="F47" s="229">
        <v>250979708.61</v>
      </c>
      <c r="G47" s="213">
        <f>F47-E47</f>
        <v>-2077291.39</v>
      </c>
      <c r="H47" s="196">
        <f>IF(E47=0,0,((G47/E47)*100))</f>
        <v>-0.82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272091000</v>
      </c>
      <c r="F49" s="194">
        <f>F45+F47</f>
        <v>281980259.61</v>
      </c>
      <c r="G49" s="213">
        <f>F49-E49</f>
        <v>9889259.61</v>
      </c>
      <c r="H49" s="196">
        <f>IF(E49=0,0,((G49/E49)*100))</f>
        <v>3.63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51:H51"/>
    <mergeCell ref="A45:C45"/>
    <mergeCell ref="B9:C9"/>
    <mergeCell ref="B10:C10"/>
    <mergeCell ref="B19:C19"/>
    <mergeCell ref="A14:C14"/>
    <mergeCell ref="B16:C16"/>
    <mergeCell ref="B24:C24"/>
    <mergeCell ref="B23:C23"/>
    <mergeCell ref="B25:C25"/>
    <mergeCell ref="B17:C17"/>
    <mergeCell ref="A2:H2"/>
    <mergeCell ref="A3:H3"/>
    <mergeCell ref="A7:C7"/>
    <mergeCell ref="A12:C12"/>
    <mergeCell ref="A5:C6"/>
    <mergeCell ref="B18:C18"/>
    <mergeCell ref="B22:C22"/>
    <mergeCell ref="B20:C20"/>
    <mergeCell ref="B21:C21"/>
    <mergeCell ref="A47:C47"/>
    <mergeCell ref="A49:C49"/>
    <mergeCell ref="B39:C39"/>
    <mergeCell ref="A41:C41"/>
    <mergeCell ref="A43:C43"/>
    <mergeCell ref="B36:C36"/>
    <mergeCell ref="B37:C37"/>
    <mergeCell ref="B38:C38"/>
    <mergeCell ref="A27:C27"/>
    <mergeCell ref="B34:C34"/>
    <mergeCell ref="B33:C33"/>
    <mergeCell ref="B31:C31"/>
    <mergeCell ref="B32:C32"/>
    <mergeCell ref="A29:C29"/>
    <mergeCell ref="B35:C35"/>
  </mergeCells>
  <printOptions horizontalCentered="1"/>
  <pageMargins left="0.5905511811023623" right="0.5905511811023623" top="0.4724409448818898" bottom="0.8267716535433072" header="0" footer="0"/>
  <pageSetup fitToHeight="2"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/>
  <dimension ref="A1:O97"/>
  <sheetViews>
    <sheetView showGridLines="0" tabSelected="1" workbookViewId="0" topLeftCell="A40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7.1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805466571.52</v>
      </c>
      <c r="F8" s="315">
        <f>IF(E$8&gt;0,(E8/E$8)*100,0)</f>
        <v>100</v>
      </c>
      <c r="G8" s="315">
        <f>SUM(G10,G18,G26,G37,G42,G45,G48)</f>
        <v>749961158.85</v>
      </c>
      <c r="H8" s="315">
        <f>IF(G$8&gt;0,(G8/G$8)*100,0)</f>
        <v>100</v>
      </c>
      <c r="I8" s="316">
        <f>E8-G8</f>
        <v>55505412.67</v>
      </c>
      <c r="J8" s="317">
        <f>IF(G8=0,0,((I8/G8)*100))</f>
        <v>7.4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410160992.52</v>
      </c>
      <c r="F10" s="315">
        <f aca="true" t="shared" si="0" ref="F10:F16">IF(E$8&gt;0,(E10/E$8)*100,0)</f>
        <v>50.92</v>
      </c>
      <c r="G10" s="315">
        <f>SUM(G11:G16)</f>
        <v>378157784.85</v>
      </c>
      <c r="H10" s="315">
        <f aca="true" t="shared" si="1" ref="H10:H16">IF(G$8&gt;0,(G10/G$8)*100,0)</f>
        <v>50.42</v>
      </c>
      <c r="I10" s="316">
        <f aca="true" t="shared" si="2" ref="I10:I16">E10-G10</f>
        <v>32003207.67</v>
      </c>
      <c r="J10" s="317">
        <f aca="true" t="shared" si="3" ref="J10:J16">IF(G10=0,0,((I10/G10)*100))</f>
        <v>8.46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281980259.61</v>
      </c>
      <c r="F11" s="338">
        <f t="shared" si="0"/>
        <v>35.01</v>
      </c>
      <c r="G11" s="337">
        <v>250979708.61</v>
      </c>
      <c r="H11" s="338">
        <f t="shared" si="1"/>
        <v>33.47</v>
      </c>
      <c r="I11" s="339">
        <f t="shared" si="2"/>
        <v>31000551</v>
      </c>
      <c r="J11" s="340">
        <f t="shared" si="3"/>
        <v>12.35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12826868</v>
      </c>
      <c r="F13" s="338">
        <f t="shared" si="0"/>
        <v>1.59</v>
      </c>
      <c r="G13" s="337">
        <v>9706594</v>
      </c>
      <c r="H13" s="338">
        <f t="shared" si="1"/>
        <v>1.29</v>
      </c>
      <c r="I13" s="339">
        <f t="shared" si="2"/>
        <v>3120274</v>
      </c>
      <c r="J13" s="340">
        <f t="shared" si="3"/>
        <v>32.15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>
        <v>115210343.91</v>
      </c>
      <c r="F14" s="338">
        <f t="shared" si="0"/>
        <v>14.3</v>
      </c>
      <c r="G14" s="337">
        <v>115839054.24</v>
      </c>
      <c r="H14" s="338">
        <f t="shared" si="1"/>
        <v>15.45</v>
      </c>
      <c r="I14" s="339">
        <f t="shared" si="2"/>
        <v>-628710.33</v>
      </c>
      <c r="J14" s="340">
        <f t="shared" si="3"/>
        <v>-0.54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>
        <v>143521</v>
      </c>
      <c r="F15" s="338">
        <f t="shared" si="0"/>
        <v>0.02</v>
      </c>
      <c r="G15" s="337">
        <v>1632428</v>
      </c>
      <c r="H15" s="338">
        <f t="shared" si="1"/>
        <v>0.22</v>
      </c>
      <c r="I15" s="339">
        <f t="shared" si="2"/>
        <v>-1488907</v>
      </c>
      <c r="J15" s="340">
        <f t="shared" si="3"/>
        <v>-91.21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/>
      <c r="F16" s="338">
        <f t="shared" si="0"/>
        <v>0</v>
      </c>
      <c r="G16" s="337"/>
      <c r="H16" s="338">
        <f t="shared" si="1"/>
        <v>0</v>
      </c>
      <c r="I16" s="339">
        <f t="shared" si="2"/>
        <v>0</v>
      </c>
      <c r="J16" s="340">
        <f t="shared" si="3"/>
        <v>0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954748</v>
      </c>
      <c r="F18" s="315">
        <f>IF(E$8&gt;0,(E18/E$8)*100,0)</f>
        <v>0.12</v>
      </c>
      <c r="G18" s="315">
        <f>SUM(G20:G24)</f>
        <v>800442</v>
      </c>
      <c r="H18" s="315">
        <f>IF(G$8&gt;0,(G18/G$8)*100,0)</f>
        <v>0.11</v>
      </c>
      <c r="I18" s="316">
        <f>E18-G18</f>
        <v>154306</v>
      </c>
      <c r="J18" s="317">
        <f>IF(G18=0,0,((I18/G18)*100))</f>
        <v>19.28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IF(G20=0,0,((I20/G20)*100))</f>
        <v>0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IF(G22=0,0,((I22/G22)*100))</f>
        <v>0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IF(G23=0,0,((I23/G23)*100))</f>
        <v>0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>
        <v>954748</v>
      </c>
      <c r="F24" s="338">
        <f>IF(E$8&gt;0,(E24/E$8)*100,0)</f>
        <v>0.12</v>
      </c>
      <c r="G24" s="337">
        <v>800442</v>
      </c>
      <c r="H24" s="338">
        <f>IF(G$8&gt;0,(G24/G$8)*100,0)</f>
        <v>0.11</v>
      </c>
      <c r="I24" s="339">
        <f>E24-G24</f>
        <v>154306</v>
      </c>
      <c r="J24" s="340">
        <f>IF(G24=0,0,((I24/G24)*100))</f>
        <v>19.28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393551831</v>
      </c>
      <c r="F26" s="315">
        <f aca="true" t="shared" si="4" ref="F26:F35">IF(E$8&gt;0,(E26/E$8)*100,0)</f>
        <v>48.86</v>
      </c>
      <c r="G26" s="315">
        <f>SUM(G27:G35)</f>
        <v>369822692</v>
      </c>
      <c r="H26" s="315">
        <f aca="true" t="shared" si="5" ref="H26:H35">IF(G$8&gt;0,(G26/G$8)*100,0)</f>
        <v>49.31</v>
      </c>
      <c r="I26" s="316">
        <f aca="true" t="shared" si="6" ref="I26:I35">E26-G26</f>
        <v>23729139</v>
      </c>
      <c r="J26" s="317">
        <f aca="true" t="shared" si="7" ref="J26:J35">IF(G26=0,0,((I26/G26)*100))</f>
        <v>6.42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/>
      <c r="F27" s="338">
        <f t="shared" si="4"/>
        <v>0</v>
      </c>
      <c r="G27" s="337"/>
      <c r="H27" s="338">
        <f t="shared" si="5"/>
        <v>0</v>
      </c>
      <c r="I27" s="339">
        <f t="shared" si="6"/>
        <v>0</v>
      </c>
      <c r="J27" s="340">
        <f t="shared" si="7"/>
        <v>0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/>
      <c r="F28" s="338">
        <f t="shared" si="4"/>
        <v>0</v>
      </c>
      <c r="G28" s="337"/>
      <c r="H28" s="338">
        <f t="shared" si="5"/>
        <v>0</v>
      </c>
      <c r="I28" s="339">
        <f t="shared" si="6"/>
        <v>0</v>
      </c>
      <c r="J28" s="340">
        <f t="shared" si="7"/>
        <v>0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>
        <v>1282023</v>
      </c>
      <c r="F29" s="338">
        <f t="shared" si="4"/>
        <v>0.16</v>
      </c>
      <c r="G29" s="337">
        <v>1392023</v>
      </c>
      <c r="H29" s="338">
        <f t="shared" si="5"/>
        <v>0.19</v>
      </c>
      <c r="I29" s="339">
        <f t="shared" si="6"/>
        <v>-110000</v>
      </c>
      <c r="J29" s="340">
        <f t="shared" si="7"/>
        <v>-7.9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>
        <v>228172</v>
      </c>
      <c r="F30" s="338">
        <f t="shared" si="4"/>
        <v>0.03</v>
      </c>
      <c r="G30" s="337">
        <v>270822</v>
      </c>
      <c r="H30" s="338">
        <f t="shared" si="5"/>
        <v>0.04</v>
      </c>
      <c r="I30" s="339">
        <f t="shared" si="6"/>
        <v>-42650</v>
      </c>
      <c r="J30" s="340">
        <f t="shared" si="7"/>
        <v>-15.75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>
        <v>59076</v>
      </c>
      <c r="F31" s="338">
        <f t="shared" si="4"/>
        <v>0.01</v>
      </c>
      <c r="G31" s="337">
        <v>78768</v>
      </c>
      <c r="H31" s="338">
        <f t="shared" si="5"/>
        <v>0.01</v>
      </c>
      <c r="I31" s="339">
        <f t="shared" si="6"/>
        <v>-19692</v>
      </c>
      <c r="J31" s="340">
        <f t="shared" si="7"/>
        <v>-25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>
        <v>391982560</v>
      </c>
      <c r="F32" s="338">
        <f t="shared" si="4"/>
        <v>48.67</v>
      </c>
      <c r="G32" s="337">
        <v>368081079</v>
      </c>
      <c r="H32" s="338">
        <f t="shared" si="5"/>
        <v>49.08</v>
      </c>
      <c r="I32" s="339">
        <f t="shared" si="6"/>
        <v>23901481</v>
      </c>
      <c r="J32" s="340">
        <f t="shared" si="7"/>
        <v>6.49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799000</v>
      </c>
      <c r="F42" s="315">
        <f>IF(E$8&gt;0,(E42/E$8)*100,0)</f>
        <v>0.1</v>
      </c>
      <c r="G42" s="315">
        <f>SUM(G43:G43)</f>
        <v>1180240</v>
      </c>
      <c r="H42" s="315">
        <f>IF(G$8&gt;0,(G42/G$8)*100,0)</f>
        <v>0.16</v>
      </c>
      <c r="I42" s="316">
        <f>E42-G42</f>
        <v>-381240</v>
      </c>
      <c r="J42" s="317">
        <f>IF(G42=0,0,((I42/G42)*100))</f>
        <v>-32.3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>
        <v>799000</v>
      </c>
      <c r="F43" s="338">
        <f>IF(E$8&gt;0,(E43/E$8)*100,0)</f>
        <v>0.1</v>
      </c>
      <c r="G43" s="337">
        <v>1180240</v>
      </c>
      <c r="H43" s="338">
        <f>IF(G$8&gt;0,(G43/G$8)*100,0)</f>
        <v>0.16</v>
      </c>
      <c r="I43" s="339">
        <f>E43-G43</f>
        <v>-381240</v>
      </c>
      <c r="J43" s="340">
        <f>IF(G43=0,0,((I43/G43)*100))</f>
        <v>-32.3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0</v>
      </c>
      <c r="F48" s="315">
        <f>IF(E$8&gt;0,(E48/E$8)*100,0)</f>
        <v>0</v>
      </c>
      <c r="G48" s="315">
        <f>SUM(G49:G52)</f>
        <v>0</v>
      </c>
      <c r="H48" s="315">
        <f>IF(G$8&gt;0,(G48/G$8)*100,0)</f>
        <v>0</v>
      </c>
      <c r="I48" s="316">
        <f>E48-G48</f>
        <v>0</v>
      </c>
      <c r="J48" s="317">
        <f>IF(G48=0,0,((I48/G48)*100))</f>
        <v>0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IF(G49=0,0,((I49/G49)*100))</f>
        <v>0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/>
      <c r="F50" s="338">
        <f>IF(E$8&gt;0,(E50/E$8)*100,0)</f>
        <v>0</v>
      </c>
      <c r="G50" s="337"/>
      <c r="H50" s="338">
        <f>IF(G$8&gt;0,(G50/G$8)*100,0)</f>
        <v>0</v>
      </c>
      <c r="I50" s="339">
        <f>E50-G50</f>
        <v>0</v>
      </c>
      <c r="J50" s="340">
        <f>IF(G50=0,0,((I50/G50)*100))</f>
        <v>0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805466571.52</v>
      </c>
      <c r="F54" s="367">
        <f>IF(E$8&gt;0,(E54/E$8)*100,0)</f>
        <v>100</v>
      </c>
      <c r="G54" s="367">
        <f>G8</f>
        <v>749961158.85</v>
      </c>
      <c r="H54" s="367">
        <f>IF(G$8&gt;0,(G54/G$8)*100,0)</f>
        <v>100</v>
      </c>
      <c r="I54" s="368">
        <f>E54-G54</f>
        <v>55505412.67</v>
      </c>
      <c r="J54" s="369">
        <f>IF(G54=0,0,((I54/G54)*100))</f>
        <v>7.4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 t="s">
        <v>235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236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237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238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239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27655355</v>
      </c>
      <c r="F63" s="315">
        <f>IF(E$96&gt;0,(E63/E$96)*100,0)</f>
        <v>3.43</v>
      </c>
      <c r="G63" s="315">
        <f>G65+G70+G73</f>
        <v>10019456</v>
      </c>
      <c r="H63" s="315">
        <f>IF(G$96&gt;0,(G63/G$96)*100,0)</f>
        <v>1.34</v>
      </c>
      <c r="I63" s="316">
        <f>E63-G63</f>
        <v>17635899</v>
      </c>
      <c r="J63" s="317">
        <f>IF(G63=0,0,((I63/G63)*100))</f>
        <v>176.02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21088010</v>
      </c>
      <c r="F65" s="315">
        <f>IF(E$96&gt;0,(E65/E$96)*100,0)</f>
        <v>2.62</v>
      </c>
      <c r="G65" s="315">
        <f>SUM(G66:G68)</f>
        <v>5866834</v>
      </c>
      <c r="H65" s="315">
        <f>IF(G$96&gt;0,(G65/G$96)*100,0)</f>
        <v>0.78</v>
      </c>
      <c r="I65" s="316">
        <f>E65-G65</f>
        <v>15221176</v>
      </c>
      <c r="J65" s="317">
        <f>IF(G65=0,0,((I65/G65)*100))</f>
        <v>259.44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/>
      <c r="F66" s="338">
        <f>IF(E$96&gt;0,(E66/E$96)*100,0)</f>
        <v>0</v>
      </c>
      <c r="G66" s="337"/>
      <c r="H66" s="338">
        <f>IF(G$96&gt;0,(G66/G$96)*100,0)</f>
        <v>0</v>
      </c>
      <c r="I66" s="339">
        <f>E66-G66</f>
        <v>0</v>
      </c>
      <c r="J66" s="340">
        <f>IF(G66=0,0,((I66/G66)*100))</f>
        <v>0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20830127</v>
      </c>
      <c r="F67" s="338">
        <f>IF(E$96&gt;0,(E67/E$96)*100,0)</f>
        <v>2.59</v>
      </c>
      <c r="G67" s="337">
        <v>5552247</v>
      </c>
      <c r="H67" s="338">
        <f>IF(G$96&gt;0,(G67/G$96)*100,0)</f>
        <v>0.74</v>
      </c>
      <c r="I67" s="339">
        <f>E67-G67</f>
        <v>15277880</v>
      </c>
      <c r="J67" s="340">
        <f>IF(G67=0,0,((I67/G67)*100))</f>
        <v>275.17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>
        <v>257883</v>
      </c>
      <c r="F68" s="338">
        <f>IF(E$96&gt;0,(E68/E$96)*100,0)</f>
        <v>0.03</v>
      </c>
      <c r="G68" s="337">
        <v>314587</v>
      </c>
      <c r="H68" s="338">
        <f>IF(G$96&gt;0,(G68/G$96)*100,0)</f>
        <v>0.04</v>
      </c>
      <c r="I68" s="339">
        <f>E68-G68</f>
        <v>-56704</v>
      </c>
      <c r="J68" s="340">
        <f>IF(G68=0,0,((I68/G68)*100))</f>
        <v>-18.02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0</v>
      </c>
      <c r="F70" s="315">
        <f>IF(E$96&gt;0,(E70/E$96)*100,0)</f>
        <v>0</v>
      </c>
      <c r="G70" s="315">
        <f>SUM(G71)</f>
        <v>0</v>
      </c>
      <c r="H70" s="315">
        <f>IF(G$96&gt;0,(G70/G$96)*100,0)</f>
        <v>0</v>
      </c>
      <c r="I70" s="316">
        <f>E70-G70</f>
        <v>0</v>
      </c>
      <c r="J70" s="317">
        <f>IF(G70=0,0,((I70/G70)*100))</f>
        <v>0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/>
      <c r="F71" s="338">
        <f>IF(E$96&gt;0,(E71/E$96)*100,0)</f>
        <v>0</v>
      </c>
      <c r="G71" s="337"/>
      <c r="H71" s="338">
        <f>IF(G$96&gt;0,(G71/G$96)*100,0)</f>
        <v>0</v>
      </c>
      <c r="I71" s="339">
        <f>E71-G71</f>
        <v>0</v>
      </c>
      <c r="J71" s="340">
        <f>IF(G71=0,0,((I71/G71)*100))</f>
        <v>0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6567345</v>
      </c>
      <c r="F73" s="315">
        <f>IF(E$96&gt;0,(E73/E$96)*100,0)</f>
        <v>0.82</v>
      </c>
      <c r="G73" s="315">
        <f>SUM(G74)</f>
        <v>4152622</v>
      </c>
      <c r="H73" s="315">
        <f>IF(G$96&gt;0,(G73/G$96)*100,0)</f>
        <v>0.55</v>
      </c>
      <c r="I73" s="316">
        <f>E73-G73</f>
        <v>2414723</v>
      </c>
      <c r="J73" s="317">
        <f>IF(G73=0,0,((I73/G73)*100))</f>
        <v>58.15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>
        <v>6567345</v>
      </c>
      <c r="F74" s="338">
        <f>IF(E$96&gt;0,(E74/E$96)*100,0)</f>
        <v>0.82</v>
      </c>
      <c r="G74" s="337">
        <v>4152622</v>
      </c>
      <c r="H74" s="338">
        <f>IF(G$96&gt;0,(G74/G$96)*100,0)</f>
        <v>0.55</v>
      </c>
      <c r="I74" s="339">
        <f>E74-G74</f>
        <v>2414723</v>
      </c>
      <c r="J74" s="340">
        <f>IF(G74=0,0,((I74/G74)*100))</f>
        <v>58.15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777811216.52</v>
      </c>
      <c r="F76" s="315">
        <f>IF(E$96&gt;0,(E76/E$96)*100,0)</f>
        <v>96.57</v>
      </c>
      <c r="G76" s="315">
        <f>SUM(G78,G81,G85,G89)</f>
        <v>739941702.85</v>
      </c>
      <c r="H76" s="315">
        <f>IF(G$96&gt;0,(G76/G$96)*100,0)</f>
        <v>98.66</v>
      </c>
      <c r="I76" s="316">
        <f>E76-G76</f>
        <v>37869513.67</v>
      </c>
      <c r="J76" s="317">
        <f>IF(G76=0,0,((I76/G76)*100))</f>
        <v>5.12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395694757</v>
      </c>
      <c r="F78" s="315">
        <f>IF(E$96&gt;0,(E78/E$96)*100,0)</f>
        <v>49.13</v>
      </c>
      <c r="G78" s="315">
        <f>SUM(G79)</f>
        <v>379694757</v>
      </c>
      <c r="H78" s="315">
        <f>IF(G$96&gt;0,(G78/G$96)*100,0)</f>
        <v>50.63</v>
      </c>
      <c r="I78" s="316">
        <f>E78-G78</f>
        <v>16000000</v>
      </c>
      <c r="J78" s="317">
        <f>IF(G78=0,0,((I78/G78)*100))</f>
        <v>4.21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395694757</v>
      </c>
      <c r="F79" s="338">
        <f>IF(E$96&gt;0,(E79/E$96)*100,0)</f>
        <v>49.13</v>
      </c>
      <c r="G79" s="337">
        <v>379694757</v>
      </c>
      <c r="H79" s="338">
        <f>IF(G$96&gt;0,(G79/G$96)*100,0)</f>
        <v>50.63</v>
      </c>
      <c r="I79" s="339">
        <f>E79-G79</f>
        <v>16000000</v>
      </c>
      <c r="J79" s="340">
        <f>IF(G79=0,0,((I79/G79)*100))</f>
        <v>4.21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371524317.74</v>
      </c>
      <c r="F81" s="315">
        <f>IF(E$96&gt;0,(E81/E$96)*100,0)</f>
        <v>46.13</v>
      </c>
      <c r="G81" s="315">
        <f>SUM(G82:G83)</f>
        <v>357860708.74</v>
      </c>
      <c r="H81" s="315">
        <f>IF(G$96&gt;0,(G81/G$96)*100,0)</f>
        <v>47.72</v>
      </c>
      <c r="I81" s="316">
        <f>E81-G81</f>
        <v>13663609</v>
      </c>
      <c r="J81" s="317">
        <f>IF(G81=0,0,((I81/G81)*100))</f>
        <v>3.82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>
        <v>336932829.23</v>
      </c>
      <c r="F82" s="338">
        <f>IF(E$96&gt;0,(E82/E$96)*100,0)</f>
        <v>41.83</v>
      </c>
      <c r="G82" s="337">
        <v>335220220.23</v>
      </c>
      <c r="H82" s="338">
        <f>IF(G$96&gt;0,(G82/G$96)*100,0)</f>
        <v>44.7</v>
      </c>
      <c r="I82" s="339">
        <f>E82-G82</f>
        <v>1712609</v>
      </c>
      <c r="J82" s="340">
        <f>IF(G82=0,0,((I82/G82)*100))</f>
        <v>0.51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>
        <v>34591488.51</v>
      </c>
      <c r="F83" s="338">
        <f>IF(E$96&gt;0,(E83/E$96)*100,0)</f>
        <v>4.29</v>
      </c>
      <c r="G83" s="337">
        <v>22640488.51</v>
      </c>
      <c r="H83" s="338">
        <f>IF(G$96&gt;0,(G83/G$96)*100,0)</f>
        <v>3.02</v>
      </c>
      <c r="I83" s="339">
        <f>E83-G83</f>
        <v>11951000</v>
      </c>
      <c r="J83" s="340">
        <f>IF(G83=0,0,((I83/G83)*100))</f>
        <v>52.79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10592141.78</v>
      </c>
      <c r="F85" s="315">
        <f>IF(E$96&gt;0,(E85/E$96)*100,0)</f>
        <v>1.32</v>
      </c>
      <c r="G85" s="315">
        <f>G86-G87</f>
        <v>2386237.11</v>
      </c>
      <c r="H85" s="315">
        <f>IF(G$96&gt;0,(G85/G$96)*100,0)</f>
        <v>0.32</v>
      </c>
      <c r="I85" s="316">
        <f>E85-G85</f>
        <v>8205904.67</v>
      </c>
      <c r="J85" s="317">
        <f>IF(G85=0,0,((I85/G85)*100))</f>
        <v>343.88</v>
      </c>
      <c r="K85" s="328" t="s">
        <v>162</v>
      </c>
      <c r="L85" s="328" t="s">
        <v>240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>
        <v>10592141.78</v>
      </c>
      <c r="F86" s="338">
        <f>IF(E$96&gt;0,(E86/E$96)*100,0)</f>
        <v>1.32</v>
      </c>
      <c r="G86" s="337">
        <v>2386237.11</v>
      </c>
      <c r="H86" s="338">
        <f>IF(G$96&gt;0,(G86/G$96)*100,0)</f>
        <v>0.32</v>
      </c>
      <c r="I86" s="339">
        <f>E86-G86</f>
        <v>8205904.67</v>
      </c>
      <c r="J86" s="340">
        <f>IF(G86=0,0,((I86/G86)*100))</f>
        <v>343.88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241</v>
      </c>
      <c r="C96" s="427"/>
      <c r="D96" s="428"/>
      <c r="E96" s="367">
        <f>E63+E76</f>
        <v>805466571.52</v>
      </c>
      <c r="F96" s="367">
        <f>IF(E$96&gt;0,(E96/E$96)*100,0)</f>
        <v>100</v>
      </c>
      <c r="G96" s="367">
        <f>G63+G76</f>
        <v>749961158.85</v>
      </c>
      <c r="H96" s="367">
        <f>IF(G$96&gt;0,(G96/G$96)*100,0)</f>
        <v>100</v>
      </c>
      <c r="I96" s="368">
        <f>E96-G96</f>
        <v>55505412.67</v>
      </c>
      <c r="J96" s="369">
        <f>IF(G96=0,0,((I96/G96)*100))</f>
        <v>7.4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2006-04-27T09:53:01Z</dcterms:created>
  <dcterms:modified xsi:type="dcterms:W3CDTF">2006-04-27T09:53:08Z</dcterms:modified>
  <cp:category/>
  <cp:version/>
  <cp:contentType/>
  <cp:contentStatus/>
</cp:coreProperties>
</file>