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19420" windowHeight="9000" activeTab="0"/>
  </bookViews>
  <sheets>
    <sheet name="10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ill" hidden="1">#REF!</definedName>
    <definedName name="HTML_CodePage" hidden="1">950</definedName>
    <definedName name="HTML_Control" localSheetId="0" hidden="1">{"'Sheet1'!$A$1:$I$102","'Sheet1'!$A$1:$I$104"}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 localSheetId="0">#REF!</definedName>
    <definedName name="oil1">#REF!</definedName>
    <definedName name="oil2" localSheetId="0">#REF!</definedName>
    <definedName name="oil2">#REF!</definedName>
    <definedName name="_xlnm.Print_Area" localSheetId="0">'107'!$A$1:$H$94</definedName>
    <definedName name="Print_Area_MI">#REF!</definedName>
    <definedName name="_xlnm.Print_Titles" localSheetId="0">'107'!$1:$5</definedName>
    <definedName name="rate">#REF!</definedName>
    <definedName name="rate2" localSheetId="0">'[5]員額(2)'!#REF!</definedName>
    <definedName name="rate2">'[2]員額(2)'!#REF!</definedName>
    <definedName name="rate3" localSheetId="0">'[5]員額(2)'!#REF!</definedName>
    <definedName name="rate3">'[2]員額(2)'!#REF!</definedName>
    <definedName name="Z_37A6B884_F326_4F4C_A628_310AA1EC4B28_.wvu.PrintArea" localSheetId="0" hidden="1">'107'!$A$1:$H$94</definedName>
    <definedName name="Z_37A6B884_F326_4F4C_A628_310AA1EC4B28_.wvu.PrintTitles" localSheetId="0" hidden="1">'107'!$1:$5</definedName>
    <definedName name="Z_889E3FC0_A867_415A_AC21_CCC26EFE3E2C_.wvu.PrintArea" localSheetId="0" hidden="1">'107'!$A$1:$H$90</definedName>
    <definedName name="Z_889E3FC0_A867_415A_AC21_CCC26EFE3E2C_.wvu.PrintTitles" localSheetId="0" hidden="1">'107'!$1:$5</definedName>
    <definedName name="Z_A5F46B14_285F_4FC0_89B5_E4C1D9839B44_.wvu.PrintArea" localSheetId="0" hidden="1">'107'!$A$1:$H$90</definedName>
    <definedName name="Z_A5F46B14_285F_4FC0_89B5_E4C1D9839B44_.wvu.PrintTitles" localSheetId="0" hidden="1">'107'!$1:$5</definedName>
    <definedName name="Z_FFA049C2_1D57_454E_AFF8_A34E8C6D6371_.wvu.PrintArea" localSheetId="0" hidden="1">'107'!$A$1:$H$94</definedName>
    <definedName name="Z_FFA049C2_1D57_454E_AFF8_A34E8C6D6371_.wvu.PrintTitles" localSheetId="0" hidden="1">'107'!$1:$5</definedName>
    <definedName name="職能表預" localSheetId="0">'[6]員額(2)'!#REF!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<sst xmlns="http://schemas.openxmlformats.org/spreadsheetml/2006/main" count="102" uniqueCount="98">
  <si>
    <t>行政院國家發展基金</t>
  </si>
  <si>
    <t>營建建設基金</t>
  </si>
  <si>
    <t>國軍生產及服務作業基金</t>
  </si>
  <si>
    <t>國軍老舊眷村改建基金</t>
  </si>
  <si>
    <t>地方建設基金</t>
  </si>
  <si>
    <t>國立臺灣大學附設醫院作業基金</t>
  </si>
  <si>
    <t>國立成功大學附設醫院作業基金</t>
  </si>
  <si>
    <t>經濟作業基金</t>
  </si>
  <si>
    <t>交通作業基金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</si>
  <si>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</si>
  <si>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</si>
  <si>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</si>
  <si>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</si>
  <si>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</si>
  <si>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故宮文物藝術發展基金</t>
  </si>
  <si>
    <t>原住民族綜合發展基金</t>
  </si>
  <si>
    <t>中央政府債務基金</t>
  </si>
  <si>
    <t>行政院國家科學技術發展基金</t>
  </si>
  <si>
    <t>離島建設基金</t>
  </si>
  <si>
    <t>行政院公營事業民營化基金</t>
  </si>
  <si>
    <t>學產基金</t>
  </si>
  <si>
    <t>經濟特別收入基金</t>
  </si>
  <si>
    <t>核能發電後端營運基金</t>
  </si>
  <si>
    <t>航港建設基金</t>
  </si>
  <si>
    <t>核子事故緊急應變基金</t>
  </si>
  <si>
    <t>農業特別收入基金</t>
  </si>
  <si>
    <t>就業安定基金</t>
  </si>
  <si>
    <t>環境保護基金</t>
  </si>
  <si>
    <t>金融監督管理基金</t>
  </si>
  <si>
    <t>2.</t>
  </si>
  <si>
    <t>中央銀行</t>
  </si>
  <si>
    <t>台灣糖業股份有限公司</t>
  </si>
  <si>
    <t>台灣中油股份有限公司</t>
  </si>
  <si>
    <t>台灣電力股份有限公司</t>
  </si>
  <si>
    <t>台灣自來水股份有限公司</t>
  </si>
  <si>
    <t>中國輸出入銀行</t>
  </si>
  <si>
    <t>中央存款保險股份有限公司</t>
  </si>
  <si>
    <t>臺灣金融控股股份有限公司</t>
  </si>
  <si>
    <t>臺灣土地銀行股份有限公司</t>
  </si>
  <si>
    <t>財政部印刷廠</t>
  </si>
  <si>
    <t>中華郵政股份有限公司</t>
  </si>
  <si>
    <t>交通部臺灣鐵路管理局</t>
  </si>
  <si>
    <t>(二)非營業部分－作業基金</t>
  </si>
  <si>
    <t>國有財產開發基金</t>
  </si>
  <si>
    <t>國立陽明大學附設醫院作業基金</t>
  </si>
  <si>
    <t>國立社教機構作業基金</t>
  </si>
  <si>
    <t xml:space="preserve">國立高級中等學校校務基金 </t>
  </si>
  <si>
    <t>法務部矯正機關作業基金</t>
  </si>
  <si>
    <t>水資源作業基金</t>
  </si>
  <si>
    <t>勞工保險局作業基金</t>
  </si>
  <si>
    <t>管制藥品製藥工廠作業基金</t>
  </si>
  <si>
    <t>全民健康保險基金</t>
  </si>
  <si>
    <t>國民年金保險基金</t>
  </si>
  <si>
    <t>國立文化機構作業基金</t>
  </si>
  <si>
    <t>考選業務基金</t>
  </si>
  <si>
    <t>(三)非營業部分－債務基金</t>
  </si>
  <si>
    <t>(四)非營業部分－特別收入
　  基金</t>
  </si>
  <si>
    <t>中央研究院科學研究基金</t>
  </si>
  <si>
    <t>花東地區永續發展基金</t>
  </si>
  <si>
    <t>新住民發展基金</t>
  </si>
  <si>
    <t>研發及產業訓儲替代役基金</t>
  </si>
  <si>
    <t>警察消防海巡移民空勤人員及協勤民力安全基金</t>
  </si>
  <si>
    <t>運動發展基金</t>
  </si>
  <si>
    <t>通訊傳播監督管理基金</t>
  </si>
  <si>
    <t>有線廣播電視事業發展基金</t>
  </si>
  <si>
    <t>反托拉斯基金</t>
  </si>
  <si>
    <t>(五)非營業部分－資本計畫
　  基金</t>
  </si>
  <si>
    <t>國軍營舍及設施改建基金</t>
  </si>
  <si>
    <t>國土永續發展基金</t>
  </si>
  <si>
    <t>大專校院轉型及退場基金</t>
  </si>
  <si>
    <t>衛生福利特別收入基金</t>
  </si>
  <si>
    <t>基金別預算分析表</t>
  </si>
  <si>
    <t>單位：新臺幣千元</t>
  </si>
  <si>
    <t>基金別</t>
  </si>
  <si>
    <t>本年度預算數</t>
  </si>
  <si>
    <t>上年度預算數</t>
  </si>
  <si>
    <t>本年度與上年度比較</t>
  </si>
  <si>
    <t>收入</t>
  </si>
  <si>
    <t>支出</t>
  </si>
  <si>
    <t>二、特種基金</t>
  </si>
  <si>
    <t>(一)營業部分</t>
  </si>
  <si>
    <t>附註：</t>
  </si>
  <si>
    <t>1.</t>
  </si>
  <si>
    <t>普通基金之「收入」及「支出」分別為總預算之歲入及歲出。</t>
  </si>
  <si>
    <t>特別預算之收入不含自償性財源；支出不含自償性經費。</t>
  </si>
  <si>
    <t>特種基金之「營業部分」，其「收入」包括營業收入、營業外收入等，「支出」包括營業成本、營業費用、營業外費用及所得稅費用等；「非營業部分－作業基金」，其「收入」包括業務收入、業務外收入等，「支出」包括業務成本與費用、業務外費用等；「非營業部分－債務基金」、「非營業部分－特別收入基金」及「非營業部分－資本計畫基金」，其「收入」及「支出」分別為基金來源及基金用途。</t>
  </si>
  <si>
    <t>臺灣菸酒股份有限公司</t>
  </si>
  <si>
    <t>臺灣港務股份有限公司</t>
  </si>
  <si>
    <t>桃園國際機場股份有限公司</t>
  </si>
  <si>
    <t>中華民國107年度</t>
  </si>
  <si>
    <t>國立大學校院校務基金(50所學校綜計)</t>
  </si>
  <si>
    <t>一、普通基金</t>
  </si>
  <si>
    <t>(一)總預算部分</t>
  </si>
  <si>
    <t>(二)特別預算部分</t>
  </si>
  <si>
    <t>中央政府總預算</t>
  </si>
  <si>
    <t>參考表4</t>
  </si>
  <si>
    <r>
      <t>特種基金之營業部分及非營業部分之作業基金，其固定資產建設改良擴充、資金轉投資等資本支出，</t>
    </r>
    <r>
      <rPr>
        <sz val="12"/>
        <color indexed="10"/>
        <rFont val="Times New Roman"/>
        <family val="1"/>
      </rPr>
      <t>107</t>
    </r>
    <r>
      <rPr>
        <sz val="12"/>
        <color indexed="10"/>
        <rFont val="新細明體"/>
        <family val="1"/>
      </rPr>
      <t>年度共計</t>
    </r>
    <r>
      <rPr>
        <sz val="12"/>
        <color indexed="10"/>
        <rFont val="Times New Roman"/>
        <family val="1"/>
      </rPr>
      <t>2,233</t>
    </r>
    <r>
      <rPr>
        <sz val="12"/>
        <color indexed="10"/>
        <rFont val="新細明體"/>
        <family val="1"/>
      </rPr>
      <t>億元，未列入各該基金之支出。</t>
    </r>
  </si>
  <si>
    <r>
      <t>總預算</t>
    </r>
    <r>
      <rPr>
        <sz val="12"/>
        <color indexed="10"/>
        <rFont val="Times New Roman"/>
        <family val="1"/>
      </rPr>
      <t>107</t>
    </r>
    <r>
      <rPr>
        <sz val="12"/>
        <color indexed="10"/>
        <rFont val="新細明體"/>
        <family val="1"/>
      </rPr>
      <t>年度現金撥充基金</t>
    </r>
    <r>
      <rPr>
        <sz val="12"/>
        <color indexed="10"/>
        <rFont val="Times New Roman"/>
        <family val="1"/>
      </rPr>
      <t>156</t>
    </r>
    <r>
      <rPr>
        <sz val="12"/>
        <color indexed="10"/>
        <rFont val="新細明體"/>
        <family val="1"/>
      </rPr>
      <t>億元、特別預算</t>
    </r>
    <r>
      <rPr>
        <sz val="12"/>
        <color indexed="10"/>
        <rFont val="Times New Roman"/>
        <family val="1"/>
      </rPr>
      <t>107</t>
    </r>
    <r>
      <rPr>
        <sz val="12"/>
        <color indexed="10"/>
        <rFont val="新細明體"/>
        <family val="1"/>
      </rPr>
      <t>年度現金撥充基金</t>
    </r>
    <r>
      <rPr>
        <sz val="12"/>
        <color indexed="10"/>
        <rFont val="Times New Roman"/>
        <family val="1"/>
      </rPr>
      <t>51</t>
    </r>
    <r>
      <rPr>
        <sz val="12"/>
        <color indexed="10"/>
        <rFont val="新細明體"/>
        <family val="1"/>
      </rPr>
      <t>億元，作為各該基金興建其設施、設備等所需資金，因非經常性收支，故均未計入前開各基金之收入及支出。</t>
    </r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</si>
</sst>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 "/>
    <numFmt numFmtId="183" formatCode="#,##0.0_ "/>
    <numFmt numFmtId="184" formatCode="0.0_ "/>
    <numFmt numFmtId="185" formatCode="0.00_ "/>
    <numFmt numFmtId="186" formatCode="_-* #,##0_-;\-* #,##0_-;_-* &quot;-&quot;??_-;_-@_-"/>
    <numFmt numFmtId="187" formatCode="#,##0.00_ "/>
    <numFmt numFmtId="188" formatCode="#,##0\ "/>
    <numFmt numFmtId="189" formatCode="#,##0.0;[Red]#,##0.0"/>
    <numFmt numFmtId="190" formatCode="\+#,##0;\-#,##0"/>
    <numFmt numFmtId="191" formatCode="0.00\ "/>
    <numFmt numFmtId="192" formatCode="0.0\ "/>
    <numFmt numFmtId="193" formatCode="#,##0.00\ "/>
    <numFmt numFmtId="194" formatCode="#\ ##0\ \ \ \ \ "/>
    <numFmt numFmtId="195" formatCode="0.00_ \ \ \ \ "/>
    <numFmt numFmtId="196" formatCode="0.0_ \ \ \ \ \ "/>
    <numFmt numFmtId="197" formatCode="0.00_ \ \ \ \ \ \ \ \ "/>
    <numFmt numFmtId="198" formatCode="0.00_ \ \ \ \ \ "/>
    <numFmt numFmtId="199" formatCode="#,##0_);[Red]\(#,##0\)"/>
    <numFmt numFmtId="200" formatCode="#,##0\ \ "/>
    <numFmt numFmtId="201" formatCode="0.0\ \ "/>
    <numFmt numFmtId="202" formatCode="0.0"/>
    <numFmt numFmtId="203" formatCode="#,##0."/>
    <numFmt numFmtId="204" formatCode="General_)"/>
    <numFmt numFmtId="205" formatCode="0.00_)"/>
    <numFmt numFmtId="206" formatCode="#,##0;\-#,##0;\-;"/>
    <numFmt numFmtId="207" formatCode="#,##0\ \ \ \ "/>
    <numFmt numFmtId="208" formatCode="#,##0;[Red]#,##0"/>
    <numFmt numFmtId="209" formatCode="0.0_);[Red]\(0.0\)"/>
    <numFmt numFmtId="210" formatCode="_-* #,##0_-;\-* #,##0_-;_-* &quot;－&quot;_-;_-@_-"/>
    <numFmt numFmtId="211" formatCode="_-* #,##0.0_-;\-* #,##0.0_-;_-* &quot;-&quot;??_-;_-@_-"/>
    <numFmt numFmtId="212" formatCode="0.0%"/>
    <numFmt numFmtId="213" formatCode="0.000_ "/>
    <numFmt numFmtId="214" formatCode="#,##0;\(\-\)#,##0"/>
    <numFmt numFmtId="215" formatCode="[$-404]AM/PM\ hh:mm:ss"/>
    <numFmt numFmtId="216" formatCode="0.00_);[Red]\(0.00\)"/>
    <numFmt numFmtId="217" formatCode="0_);[Red]\(0\)"/>
  </numFmts>
  <fonts count="36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b/>
      <sz val="18"/>
      <name val="新細明體"/>
      <family val="1"/>
    </font>
    <font>
      <b/>
      <sz val="18"/>
      <name val="標楷體"/>
      <family val="4"/>
    </font>
    <font>
      <b/>
      <sz val="20"/>
      <name val="標楷體"/>
      <family val="4"/>
    </font>
    <font>
      <b/>
      <sz val="20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1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Arial"/>
      <family val="2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38" fontId="1" fillId="0" borderId="0" applyBorder="0" applyAlignment="0">
      <protection/>
    </xf>
    <xf numFmtId="204" fontId="2" fillId="16" borderId="1" applyNumberFormat="0" applyFont="0" applyFill="0" applyBorder="0">
      <alignment horizontal="center" vertical="center"/>
      <protection/>
    </xf>
    <xf numFmtId="205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2" applyNumberFormat="0" applyFill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3" fillId="0" borderId="4" applyNumberFormat="0" applyFill="0" applyAlignment="0" applyProtection="0"/>
    <xf numFmtId="0" fontId="0" fillId="19" borderId="5" applyNumberFormat="0" applyFont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3" applyNumberFormat="0" applyAlignment="0" applyProtection="0"/>
    <xf numFmtId="0" fontId="30" fillId="18" borderId="9" applyNumberFormat="0" applyAlignment="0" applyProtection="0"/>
    <xf numFmtId="0" fontId="31" fillId="24" borderId="10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82" fontId="16" fillId="0" borderId="11" xfId="0" applyNumberFormat="1" applyFont="1" applyFill="1" applyBorder="1" applyAlignment="1">
      <alignment vertical="top"/>
    </xf>
    <xf numFmtId="0" fontId="9" fillId="0" borderId="0" xfId="37" applyNumberFormat="1" applyFont="1" applyFill="1" applyAlignment="1">
      <alignment horizontal="left" vertical="center"/>
      <protection/>
    </xf>
    <xf numFmtId="0" fontId="10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15" fillId="0" borderId="0" xfId="0" applyFont="1" applyFill="1" applyAlignment="1">
      <alignment horizontal="right" vertical="center"/>
    </xf>
    <xf numFmtId="0" fontId="14" fillId="0" borderId="1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82" fontId="16" fillId="0" borderId="13" xfId="0" applyNumberFormat="1" applyFont="1" applyFill="1" applyBorder="1" applyAlignment="1">
      <alignment vertical="top"/>
    </xf>
    <xf numFmtId="182" fontId="16" fillId="0" borderId="14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 applyProtection="1">
      <alignment horizontal="left" vertical="top" wrapText="1" shrinkToFit="1"/>
      <protection/>
    </xf>
    <xf numFmtId="0" fontId="0" fillId="0" borderId="15" xfId="0" applyFont="1" applyFill="1" applyBorder="1" applyAlignment="1">
      <alignment vertical="top"/>
    </xf>
    <xf numFmtId="203" fontId="0" fillId="0" borderId="0" xfId="0" applyNumberFormat="1" applyFont="1" applyFill="1" applyBorder="1" applyAlignment="1">
      <alignment vertical="top"/>
    </xf>
    <xf numFmtId="0" fontId="0" fillId="0" borderId="15" xfId="0" applyFont="1" applyFill="1" applyBorder="1" applyAlignment="1" applyProtection="1">
      <alignment vertical="top" wrapText="1" shrinkToFit="1"/>
      <protection/>
    </xf>
    <xf numFmtId="0" fontId="0" fillId="0" borderId="15" xfId="0" applyFont="1" applyFill="1" applyBorder="1" applyAlignment="1">
      <alignment vertical="top" wrapText="1" shrinkToFit="1"/>
    </xf>
    <xf numFmtId="0" fontId="0" fillId="0" borderId="0" xfId="0" applyFont="1" applyFill="1" applyAlignment="1">
      <alignment horizontal="distributed" vertical="top"/>
    </xf>
    <xf numFmtId="0" fontId="0" fillId="0" borderId="0" xfId="0" applyFont="1" applyFill="1" applyBorder="1" applyAlignment="1" applyProtection="1">
      <alignment vertical="top" wrapText="1" shrinkToFit="1"/>
      <protection/>
    </xf>
    <xf numFmtId="0" fontId="0" fillId="0" borderId="0" xfId="0" applyFont="1" applyFill="1" applyAlignment="1">
      <alignment vertical="top"/>
    </xf>
    <xf numFmtId="203" fontId="0" fillId="0" borderId="16" xfId="0" applyNumberFormat="1" applyFont="1" applyFill="1" applyBorder="1" applyAlignment="1">
      <alignment vertical="top"/>
    </xf>
    <xf numFmtId="0" fontId="0" fillId="0" borderId="17" xfId="0" applyFont="1" applyFill="1" applyBorder="1" applyAlignment="1" applyProtection="1">
      <alignment vertical="top" wrapText="1" shrinkToFit="1"/>
      <protection/>
    </xf>
    <xf numFmtId="182" fontId="16" fillId="0" borderId="18" xfId="0" applyNumberFormat="1" applyFont="1" applyFill="1" applyBorder="1" applyAlignment="1">
      <alignment vertical="top"/>
    </xf>
    <xf numFmtId="182" fontId="16" fillId="0" borderId="19" xfId="0" applyNumberFormat="1" applyFont="1" applyFill="1" applyBorder="1" applyAlignment="1">
      <alignment vertical="top"/>
    </xf>
    <xf numFmtId="203" fontId="0" fillId="0" borderId="0" xfId="0" applyNumberFormat="1" applyFont="1" applyFill="1" applyBorder="1" applyAlignment="1" quotePrefix="1">
      <alignment horizontal="right" vertical="top"/>
    </xf>
    <xf numFmtId="0" fontId="0" fillId="0" borderId="0" xfId="37" applyNumberFormat="1" applyFont="1" applyFill="1" applyAlignment="1">
      <alignment vertical="center"/>
      <protection/>
    </xf>
    <xf numFmtId="203" fontId="0" fillId="0" borderId="0" xfId="0" applyNumberFormat="1" applyFont="1" applyFill="1" applyAlignment="1">
      <alignment vertical="top"/>
    </xf>
    <xf numFmtId="0" fontId="0" fillId="0" borderId="15" xfId="0" applyFill="1" applyBorder="1" applyAlignment="1" applyProtection="1">
      <alignment vertical="top" wrapText="1" shrinkToFit="1"/>
      <protection/>
    </xf>
    <xf numFmtId="182" fontId="16" fillId="0" borderId="20" xfId="0" applyNumberFormat="1" applyFont="1" applyFill="1" applyBorder="1" applyAlignment="1">
      <alignment vertical="top"/>
    </xf>
    <xf numFmtId="182" fontId="34" fillId="0" borderId="13" xfId="0" applyNumberFormat="1" applyFont="1" applyFill="1" applyBorder="1" applyAlignment="1">
      <alignment vertical="top"/>
    </xf>
    <xf numFmtId="182" fontId="34" fillId="0" borderId="14" xfId="0" applyNumberFormat="1" applyFont="1" applyFill="1" applyBorder="1" applyAlignment="1">
      <alignment vertical="top"/>
    </xf>
    <xf numFmtId="182" fontId="16" fillId="16" borderId="14" xfId="0" applyNumberFormat="1" applyFont="1" applyFill="1" applyBorder="1" applyAlignment="1">
      <alignment vertical="top"/>
    </xf>
    <xf numFmtId="182" fontId="16" fillId="16" borderId="13" xfId="0" applyNumberFormat="1" applyFont="1" applyFill="1" applyBorder="1" applyAlignment="1">
      <alignment vertical="top"/>
    </xf>
    <xf numFmtId="182" fontId="34" fillId="16" borderId="13" xfId="0" applyNumberFormat="1" applyFont="1" applyFill="1" applyBorder="1" applyAlignment="1">
      <alignment vertical="top"/>
    </xf>
    <xf numFmtId="0" fontId="0" fillId="25" borderId="0" xfId="0" applyFont="1" applyFill="1" applyAlignment="1">
      <alignment horizontal="distributed" vertical="center"/>
    </xf>
    <xf numFmtId="182" fontId="34" fillId="0" borderId="13" xfId="0" applyNumberFormat="1" applyFont="1" applyFill="1" applyBorder="1" applyAlignment="1">
      <alignment vertical="top"/>
    </xf>
    <xf numFmtId="0" fontId="0" fillId="25" borderId="0" xfId="0" applyFont="1" applyFill="1" applyAlignment="1">
      <alignment/>
    </xf>
    <xf numFmtId="41" fontId="34" fillId="16" borderId="13" xfId="0" applyNumberFormat="1" applyFont="1" applyFill="1" applyBorder="1" applyAlignment="1">
      <alignment vertical="top"/>
    </xf>
    <xf numFmtId="182" fontId="34" fillId="16" borderId="14" xfId="0" applyNumberFormat="1" applyFont="1" applyFill="1" applyBorder="1" applyAlignment="1">
      <alignment vertical="top"/>
    </xf>
    <xf numFmtId="0" fontId="0" fillId="8" borderId="0" xfId="0" applyFont="1" applyFill="1" applyAlignment="1">
      <alignment horizontal="distributed" vertical="center"/>
    </xf>
    <xf numFmtId="182" fontId="34" fillId="0" borderId="18" xfId="0" applyNumberFormat="1" applyFont="1" applyFill="1" applyBorder="1" applyAlignment="1">
      <alignment vertical="top"/>
    </xf>
    <xf numFmtId="0" fontId="11" fillId="0" borderId="0" xfId="0" applyFont="1" applyFill="1" applyAlignment="1">
      <alignment horizontal="center"/>
    </xf>
    <xf numFmtId="0" fontId="14" fillId="0" borderId="21" xfId="0" applyFont="1" applyFill="1" applyBorder="1" applyAlignment="1">
      <alignment horizontal="distributed" vertical="center"/>
    </xf>
    <xf numFmtId="0" fontId="14" fillId="0" borderId="22" xfId="0" applyFont="1" applyFill="1" applyBorder="1" applyAlignment="1">
      <alignment horizontal="distributed" vertical="center"/>
    </xf>
    <xf numFmtId="0" fontId="14" fillId="0" borderId="1" xfId="0" applyFont="1" applyFill="1" applyBorder="1" applyAlignment="1">
      <alignment horizontal="distributed"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203" fontId="0" fillId="0" borderId="11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5" xfId="0" applyFont="1" applyFill="1" applyBorder="1" applyAlignment="1">
      <alignment vertical="top"/>
    </xf>
    <xf numFmtId="203" fontId="0" fillId="0" borderId="0" xfId="0" applyNumberFormat="1" applyFont="1" applyFill="1" applyBorder="1" applyAlignment="1">
      <alignment vertical="top" wrapText="1"/>
    </xf>
    <xf numFmtId="203" fontId="0" fillId="0" borderId="15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 applyProtection="1">
      <alignment horizontal="left" vertical="top" wrapText="1" shrinkToFit="1"/>
      <protection/>
    </xf>
    <xf numFmtId="0" fontId="0" fillId="0" borderId="15" xfId="0" applyFont="1" applyFill="1" applyBorder="1" applyAlignment="1" applyProtection="1">
      <alignment horizontal="left" vertical="top" wrapText="1" shrinkToFit="1"/>
      <protection/>
    </xf>
    <xf numFmtId="0" fontId="0" fillId="0" borderId="0" xfId="0" applyFont="1" applyFill="1" applyBorder="1" applyAlignment="1">
      <alignment vertical="top"/>
    </xf>
    <xf numFmtId="0" fontId="14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left" vertical="top" wrapText="1" shrinkToFit="1"/>
      <protection/>
    </xf>
    <xf numFmtId="0" fontId="33" fillId="0" borderId="0" xfId="0" applyFont="1" applyFill="1" applyBorder="1" applyAlignment="1" applyProtection="1">
      <alignment horizontal="justify" vertical="top" wrapText="1" shrinkToFit="1"/>
      <protection/>
    </xf>
    <xf numFmtId="0" fontId="17" fillId="0" borderId="0" xfId="0" applyFont="1" applyFill="1" applyBorder="1" applyAlignment="1" applyProtection="1">
      <alignment horizontal="justify" vertical="top" wrapText="1" shrinkToFit="1"/>
      <protection/>
    </xf>
    <xf numFmtId="0" fontId="0" fillId="0" borderId="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縣市收支估計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貨幣[0]_Apply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bas.gov.tw/90&#24180;&#24230;&#38928;&#31639;\90&#38928;&#31639;\90&#27010;&#31639;&#20998;&#2651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bas.gov.tw/&#38928;&#31639;\89&#38928;&#31639;\&#38928;&#31639;\88&#38928;&#31639;\88bgt-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bas.gov.tw/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  <sheetName val="員工人數及給與計算表ol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91"/>
  <sheetViews>
    <sheetView tabSelected="1" view="pageBreakPreview" zoomScale="85" zoomScaleSheetLayoutView="85" zoomScalePageLayoutView="0" workbookViewId="0" topLeftCell="A1">
      <selection activeCell="H94" sqref="B88:H94"/>
    </sheetView>
  </sheetViews>
  <sheetFormatPr defaultColWidth="9.00390625" defaultRowHeight="16.5"/>
  <cols>
    <col min="1" max="1" width="4.50390625" style="14" customWidth="1"/>
    <col min="2" max="2" width="23.125" style="14" customWidth="1"/>
    <col min="3" max="3" width="15.125" style="14" customWidth="1"/>
    <col min="4" max="4" width="15.00390625" style="14" customWidth="1"/>
    <col min="5" max="5" width="15.125" style="14" customWidth="1"/>
    <col min="6" max="6" width="15.00390625" style="14" customWidth="1"/>
    <col min="7" max="7" width="13.875" style="14" customWidth="1"/>
    <col min="8" max="8" width="13.50390625" style="14" customWidth="1"/>
    <col min="9" max="16384" width="9.00390625" style="14" customWidth="1"/>
  </cols>
  <sheetData>
    <row r="1" spans="1:8" s="13" customFormat="1" ht="27.75" customHeight="1">
      <c r="A1" s="2"/>
      <c r="B1" s="3"/>
      <c r="C1" s="44" t="s">
        <v>94</v>
      </c>
      <c r="D1" s="44"/>
      <c r="E1" s="44"/>
      <c r="F1" s="44"/>
      <c r="G1" s="3"/>
      <c r="H1" s="3"/>
    </row>
    <row r="2" spans="1:8" s="13" customFormat="1" ht="27.75" customHeight="1">
      <c r="A2" s="48" t="s">
        <v>95</v>
      </c>
      <c r="B2" s="48"/>
      <c r="C2" s="49" t="s">
        <v>71</v>
      </c>
      <c r="D2" s="49"/>
      <c r="E2" s="49"/>
      <c r="F2" s="49"/>
      <c r="G2" s="4"/>
      <c r="H2" s="4"/>
    </row>
    <row r="3" spans="2:8" ht="27.75" customHeight="1">
      <c r="B3" s="5"/>
      <c r="C3" s="5"/>
      <c r="D3" s="50" t="s">
        <v>89</v>
      </c>
      <c r="E3" s="50"/>
      <c r="F3" s="5"/>
      <c r="H3" s="6" t="s">
        <v>72</v>
      </c>
    </row>
    <row r="4" spans="1:8" s="9" customFormat="1" ht="24.75" customHeight="1">
      <c r="A4" s="45" t="s">
        <v>73</v>
      </c>
      <c r="B4" s="46"/>
      <c r="C4" s="47" t="s">
        <v>74</v>
      </c>
      <c r="D4" s="47"/>
      <c r="E4" s="47" t="s">
        <v>75</v>
      </c>
      <c r="F4" s="47"/>
      <c r="G4" s="47" t="s">
        <v>76</v>
      </c>
      <c r="H4" s="59"/>
    </row>
    <row r="5" spans="1:8" s="10" customFormat="1" ht="19.5">
      <c r="A5" s="45"/>
      <c r="B5" s="46"/>
      <c r="C5" s="7" t="s">
        <v>77</v>
      </c>
      <c r="D5" s="7" t="s">
        <v>78</v>
      </c>
      <c r="E5" s="7" t="s">
        <v>77</v>
      </c>
      <c r="F5" s="7" t="s">
        <v>78</v>
      </c>
      <c r="G5" s="7" t="s">
        <v>77</v>
      </c>
      <c r="H5" s="8" t="s">
        <v>78</v>
      </c>
    </row>
    <row r="6" spans="1:8" s="10" customFormat="1" ht="27.75" customHeight="1">
      <c r="A6" s="60" t="s">
        <v>91</v>
      </c>
      <c r="B6" s="57"/>
      <c r="C6" s="11">
        <v>1923689256</v>
      </c>
      <c r="D6" s="11">
        <v>2072548586</v>
      </c>
      <c r="E6" s="11">
        <v>1857175404</v>
      </c>
      <c r="F6" s="11">
        <v>2005798517</v>
      </c>
      <c r="G6" s="11">
        <f>C6-E6</f>
        <v>66513852</v>
      </c>
      <c r="H6" s="31">
        <f>D6-F6</f>
        <v>66750069</v>
      </c>
    </row>
    <row r="7" spans="1:8" s="10" customFormat="1" ht="27.75" customHeight="1">
      <c r="A7" s="52" t="s">
        <v>92</v>
      </c>
      <c r="B7" s="53"/>
      <c r="C7" s="38">
        <v>1919376256</v>
      </c>
      <c r="D7" s="38">
        <v>1966862309</v>
      </c>
      <c r="E7" s="32">
        <v>1841451404</v>
      </c>
      <c r="F7" s="32">
        <v>1973995947</v>
      </c>
      <c r="G7" s="32">
        <f aca="true" t="shared" si="0" ref="G7:G70">C7-E7</f>
        <v>77924852</v>
      </c>
      <c r="H7" s="33">
        <f aca="true" t="shared" si="1" ref="H7:H70">D7-F7</f>
        <v>-7133638</v>
      </c>
    </row>
    <row r="8" spans="1:8" s="10" customFormat="1" ht="27.75" customHeight="1">
      <c r="A8" s="52" t="s">
        <v>93</v>
      </c>
      <c r="B8" s="53"/>
      <c r="C8" s="38">
        <v>4313000</v>
      </c>
      <c r="D8" s="38">
        <v>105686277</v>
      </c>
      <c r="E8" s="32">
        <v>15724000</v>
      </c>
      <c r="F8" s="32">
        <v>31802570</v>
      </c>
      <c r="G8" s="32">
        <f t="shared" si="0"/>
        <v>-11411000</v>
      </c>
      <c r="H8" s="33">
        <f t="shared" si="1"/>
        <v>73883707</v>
      </c>
    </row>
    <row r="9" spans="1:8" s="42" customFormat="1" ht="27.75" customHeight="1">
      <c r="A9" s="56" t="s">
        <v>79</v>
      </c>
      <c r="B9" s="57"/>
      <c r="C9" s="12">
        <f>+C10+C26+C56+C58+C83</f>
        <v>5361792023</v>
      </c>
      <c r="D9" s="12">
        <f>+D10+D26+D56+D58+D83</f>
        <v>5105640193</v>
      </c>
      <c r="E9" s="12">
        <f>+E10+E26+E56+E58+E83</f>
        <v>5161433334</v>
      </c>
      <c r="F9" s="12">
        <f>+F10+F26+F56+F58+F83</f>
        <v>4898240593.2</v>
      </c>
      <c r="G9" s="12">
        <f t="shared" si="0"/>
        <v>200358689</v>
      </c>
      <c r="H9" s="12">
        <f t="shared" si="1"/>
        <v>207399599.8000002</v>
      </c>
    </row>
    <row r="10" spans="1:8" s="37" customFormat="1" ht="27.75" customHeight="1">
      <c r="A10" s="58" t="s">
        <v>80</v>
      </c>
      <c r="B10" s="53"/>
      <c r="C10" s="11">
        <f>SUM(C11:C25)</f>
        <v>2701442770</v>
      </c>
      <c r="D10" s="11">
        <f>SUM(D11:D25)</f>
        <v>2485644311</v>
      </c>
      <c r="E10" s="11">
        <f>SUM(E11:E25)</f>
        <v>2550550638</v>
      </c>
      <c r="F10" s="11">
        <f>SUM(F11:F25)</f>
        <v>2327042242</v>
      </c>
      <c r="G10" s="12">
        <f t="shared" si="0"/>
        <v>150892132</v>
      </c>
      <c r="H10" s="12">
        <f t="shared" si="1"/>
        <v>158602069</v>
      </c>
    </row>
    <row r="11" spans="1:8" s="9" customFormat="1" ht="27.75" customHeight="1">
      <c r="A11" s="29">
        <v>1</v>
      </c>
      <c r="B11" s="18" t="s">
        <v>30</v>
      </c>
      <c r="C11" s="35">
        <v>364183807</v>
      </c>
      <c r="D11" s="35">
        <v>213807912</v>
      </c>
      <c r="E11" s="36">
        <v>362779011</v>
      </c>
      <c r="F11" s="36">
        <v>212425022</v>
      </c>
      <c r="G11" s="12">
        <f t="shared" si="0"/>
        <v>1404796</v>
      </c>
      <c r="H11" s="12">
        <f t="shared" si="1"/>
        <v>1382890</v>
      </c>
    </row>
    <row r="12" spans="1:8" s="9" customFormat="1" ht="27.75" customHeight="1">
      <c r="A12" s="29">
        <v>2</v>
      </c>
      <c r="B12" s="18" t="s">
        <v>31</v>
      </c>
      <c r="C12" s="35">
        <v>35922182</v>
      </c>
      <c r="D12" s="35">
        <v>33270637</v>
      </c>
      <c r="E12" s="36">
        <v>37010084</v>
      </c>
      <c r="F12" s="36">
        <v>33667619</v>
      </c>
      <c r="G12" s="12">
        <f t="shared" si="0"/>
        <v>-1087902</v>
      </c>
      <c r="H12" s="12">
        <f t="shared" si="1"/>
        <v>-396982</v>
      </c>
    </row>
    <row r="13" spans="1:8" s="9" customFormat="1" ht="27.75" customHeight="1">
      <c r="A13" s="29">
        <v>3</v>
      </c>
      <c r="B13" s="18" t="s">
        <v>32</v>
      </c>
      <c r="C13" s="35">
        <v>847426956</v>
      </c>
      <c r="D13" s="35">
        <v>833832105</v>
      </c>
      <c r="E13" s="36">
        <v>747040096</v>
      </c>
      <c r="F13" s="36">
        <v>738793425</v>
      </c>
      <c r="G13" s="12">
        <f t="shared" si="0"/>
        <v>100386860</v>
      </c>
      <c r="H13" s="12">
        <f t="shared" si="1"/>
        <v>95038680</v>
      </c>
    </row>
    <row r="14" spans="1:8" s="9" customFormat="1" ht="27.75" customHeight="1">
      <c r="A14" s="29">
        <v>4</v>
      </c>
      <c r="B14" s="18" t="s">
        <v>33</v>
      </c>
      <c r="C14" s="36">
        <v>604783078</v>
      </c>
      <c r="D14" s="36">
        <v>594889034</v>
      </c>
      <c r="E14" s="36">
        <v>566611302</v>
      </c>
      <c r="F14" s="36">
        <v>545016366</v>
      </c>
      <c r="G14" s="12">
        <f t="shared" si="0"/>
        <v>38171776</v>
      </c>
      <c r="H14" s="12">
        <f t="shared" si="1"/>
        <v>49872668</v>
      </c>
    </row>
    <row r="15" spans="1:8" s="9" customFormat="1" ht="33.75" customHeight="1">
      <c r="A15" s="29">
        <v>5</v>
      </c>
      <c r="B15" s="18" t="s">
        <v>34</v>
      </c>
      <c r="C15" s="35">
        <v>29836136</v>
      </c>
      <c r="D15" s="35">
        <v>30179513</v>
      </c>
      <c r="E15" s="36">
        <v>29311242</v>
      </c>
      <c r="F15" s="36">
        <v>29713270</v>
      </c>
      <c r="G15" s="12">
        <f t="shared" si="0"/>
        <v>524894</v>
      </c>
      <c r="H15" s="12">
        <f t="shared" si="1"/>
        <v>466243</v>
      </c>
    </row>
    <row r="16" spans="1:8" s="9" customFormat="1" ht="27.75" customHeight="1">
      <c r="A16" s="29">
        <v>6</v>
      </c>
      <c r="B16" s="18" t="s">
        <v>35</v>
      </c>
      <c r="C16" s="36">
        <v>2428675</v>
      </c>
      <c r="D16" s="36">
        <v>1877873</v>
      </c>
      <c r="E16" s="36">
        <v>2111929</v>
      </c>
      <c r="F16" s="36">
        <v>1639618</v>
      </c>
      <c r="G16" s="12">
        <f t="shared" si="0"/>
        <v>316746</v>
      </c>
      <c r="H16" s="12">
        <f t="shared" si="1"/>
        <v>238255</v>
      </c>
    </row>
    <row r="17" spans="1:8" s="9" customFormat="1" ht="38.25" customHeight="1">
      <c r="A17" s="29">
        <v>7</v>
      </c>
      <c r="B17" s="18" t="s">
        <v>37</v>
      </c>
      <c r="C17" s="36">
        <v>314661128</v>
      </c>
      <c r="D17" s="36">
        <v>308648554</v>
      </c>
      <c r="E17" s="36">
        <v>308913877</v>
      </c>
      <c r="F17" s="36">
        <v>303038121</v>
      </c>
      <c r="G17" s="12">
        <f t="shared" si="0"/>
        <v>5747251</v>
      </c>
      <c r="H17" s="12">
        <f t="shared" si="1"/>
        <v>5610433</v>
      </c>
    </row>
    <row r="18" spans="1:8" s="9" customFormat="1" ht="38.25" customHeight="1">
      <c r="A18" s="29">
        <v>8</v>
      </c>
      <c r="B18" s="15" t="s">
        <v>38</v>
      </c>
      <c r="C18" s="40">
        <v>52711351</v>
      </c>
      <c r="D18" s="40">
        <v>44496419</v>
      </c>
      <c r="E18" s="40">
        <v>53092793</v>
      </c>
      <c r="F18" s="40">
        <v>45120217</v>
      </c>
      <c r="G18" s="12">
        <f t="shared" si="0"/>
        <v>-381442</v>
      </c>
      <c r="H18" s="12">
        <f t="shared" si="1"/>
        <v>-623798</v>
      </c>
    </row>
    <row r="19" spans="1:8" s="9" customFormat="1" ht="27.75" customHeight="1">
      <c r="A19" s="29">
        <v>9</v>
      </c>
      <c r="B19" s="18" t="s">
        <v>39</v>
      </c>
      <c r="C19" s="36">
        <v>954176</v>
      </c>
      <c r="D19" s="36">
        <v>862212</v>
      </c>
      <c r="E19" s="36">
        <v>963845</v>
      </c>
      <c r="F19" s="36">
        <v>873740</v>
      </c>
      <c r="G19" s="12">
        <f t="shared" si="0"/>
        <v>-9669</v>
      </c>
      <c r="H19" s="12">
        <f t="shared" si="1"/>
        <v>-11528</v>
      </c>
    </row>
    <row r="20" spans="1:8" s="9" customFormat="1" ht="27.75" customHeight="1">
      <c r="A20" s="29">
        <v>10</v>
      </c>
      <c r="B20" s="18" t="s">
        <v>86</v>
      </c>
      <c r="C20" s="35">
        <v>81869679</v>
      </c>
      <c r="D20" s="35">
        <v>74982874</v>
      </c>
      <c r="E20" s="36">
        <v>78817577</v>
      </c>
      <c r="F20" s="36">
        <v>69949064</v>
      </c>
      <c r="G20" s="12">
        <f t="shared" si="0"/>
        <v>3052102</v>
      </c>
      <c r="H20" s="12">
        <f t="shared" si="1"/>
        <v>5033810</v>
      </c>
    </row>
    <row r="21" spans="1:8" s="9" customFormat="1" ht="27.75" customHeight="1">
      <c r="A21" s="29">
        <v>11</v>
      </c>
      <c r="B21" s="18" t="s">
        <v>40</v>
      </c>
      <c r="C21" s="36">
        <v>286501459</v>
      </c>
      <c r="D21" s="36">
        <v>277708813</v>
      </c>
      <c r="E21" s="36">
        <v>286584099</v>
      </c>
      <c r="F21" s="41">
        <v>277470897</v>
      </c>
      <c r="G21" s="12">
        <f t="shared" si="0"/>
        <v>-82640</v>
      </c>
      <c r="H21" s="12">
        <f t="shared" si="1"/>
        <v>237916</v>
      </c>
    </row>
    <row r="22" spans="1:8" s="9" customFormat="1" ht="27.75" customHeight="1">
      <c r="A22" s="29">
        <v>12</v>
      </c>
      <c r="B22" s="18" t="s">
        <v>41</v>
      </c>
      <c r="C22" s="35">
        <v>28363397</v>
      </c>
      <c r="D22" s="34">
        <v>31209104</v>
      </c>
      <c r="E22" s="36">
        <v>26817484</v>
      </c>
      <c r="F22" s="41">
        <v>30219624</v>
      </c>
      <c r="G22" s="12">
        <f t="shared" si="0"/>
        <v>1545913</v>
      </c>
      <c r="H22" s="12">
        <f t="shared" si="1"/>
        <v>989480</v>
      </c>
    </row>
    <row r="23" spans="1:8" s="9" customFormat="1" ht="27.75" customHeight="1">
      <c r="A23" s="29">
        <v>13</v>
      </c>
      <c r="B23" s="18" t="s">
        <v>87</v>
      </c>
      <c r="C23" s="36">
        <v>21099034</v>
      </c>
      <c r="D23" s="41">
        <v>15318765</v>
      </c>
      <c r="E23" s="36">
        <v>21238366</v>
      </c>
      <c r="F23" s="41">
        <v>15587738</v>
      </c>
      <c r="G23" s="12">
        <f t="shared" si="0"/>
        <v>-139332</v>
      </c>
      <c r="H23" s="12">
        <f t="shared" si="1"/>
        <v>-268973</v>
      </c>
    </row>
    <row r="24" spans="1:8" s="9" customFormat="1" ht="37.5" customHeight="1">
      <c r="A24" s="29">
        <v>14</v>
      </c>
      <c r="B24" s="18" t="s">
        <v>88</v>
      </c>
      <c r="C24" s="36">
        <v>21001784</v>
      </c>
      <c r="D24" s="41">
        <v>14860568</v>
      </c>
      <c r="E24" s="36">
        <v>19878154</v>
      </c>
      <c r="F24" s="41">
        <v>14146742</v>
      </c>
      <c r="G24" s="12">
        <f t="shared" si="0"/>
        <v>1123630</v>
      </c>
      <c r="H24" s="12">
        <f t="shared" si="1"/>
        <v>713826</v>
      </c>
    </row>
    <row r="25" spans="1:8" s="9" customFormat="1" ht="37.5" customHeight="1">
      <c r="A25" s="29">
        <v>15</v>
      </c>
      <c r="B25" s="18" t="s">
        <v>36</v>
      </c>
      <c r="C25" s="36">
        <v>9699928</v>
      </c>
      <c r="D25" s="36">
        <v>9699928</v>
      </c>
      <c r="E25" s="36">
        <v>9380779</v>
      </c>
      <c r="F25" s="36">
        <v>9380779</v>
      </c>
      <c r="G25" s="12">
        <f t="shared" si="0"/>
        <v>319149</v>
      </c>
      <c r="H25" s="12">
        <f t="shared" si="1"/>
        <v>319149</v>
      </c>
    </row>
    <row r="26" spans="1:8" s="39" customFormat="1" ht="27.75" customHeight="1">
      <c r="A26" s="58" t="s">
        <v>42</v>
      </c>
      <c r="B26" s="53"/>
      <c r="C26" s="38">
        <f>SUM(C27:C55)</f>
        <v>1623522235</v>
      </c>
      <c r="D26" s="38">
        <f>SUM(D27:D55)</f>
        <v>1587147736</v>
      </c>
      <c r="E26" s="38">
        <f>SUM(E27:E55)</f>
        <v>1564103037</v>
      </c>
      <c r="F26" s="38">
        <f>SUM(F27:F55)</f>
        <v>1536280516.2</v>
      </c>
      <c r="G26" s="11">
        <f t="shared" si="0"/>
        <v>59419198</v>
      </c>
      <c r="H26" s="12">
        <f t="shared" si="1"/>
        <v>50867219.79999995</v>
      </c>
    </row>
    <row r="27" spans="1:8" ht="26.25" customHeight="1">
      <c r="A27" s="17">
        <v>1</v>
      </c>
      <c r="B27" s="18" t="s">
        <v>0</v>
      </c>
      <c r="C27" s="38">
        <v>14418203</v>
      </c>
      <c r="D27" s="38">
        <v>1002711</v>
      </c>
      <c r="E27" s="38">
        <f>11833982+585138</f>
        <v>12419120</v>
      </c>
      <c r="F27" s="38">
        <f>1077340-5500</f>
        <v>1071840</v>
      </c>
      <c r="G27" s="11">
        <f t="shared" si="0"/>
        <v>1999083</v>
      </c>
      <c r="H27" s="12">
        <f t="shared" si="1"/>
        <v>-69129</v>
      </c>
    </row>
    <row r="28" spans="1:8" ht="27.75" customHeight="1">
      <c r="A28" s="17">
        <v>2</v>
      </c>
      <c r="B28" s="18" t="s">
        <v>1</v>
      </c>
      <c r="C28" s="38">
        <v>3770184</v>
      </c>
      <c r="D28" s="38">
        <v>11225125</v>
      </c>
      <c r="E28" s="38">
        <f>3843302-1000</f>
        <v>3842302</v>
      </c>
      <c r="F28" s="38">
        <f>8483198-538</f>
        <v>8482660</v>
      </c>
      <c r="G28" s="11">
        <f t="shared" si="0"/>
        <v>-72118</v>
      </c>
      <c r="H28" s="12">
        <f t="shared" si="1"/>
        <v>2742465</v>
      </c>
    </row>
    <row r="29" spans="1:8" ht="34.5" customHeight="1">
      <c r="A29" s="17">
        <v>3</v>
      </c>
      <c r="B29" s="18" t="s">
        <v>2</v>
      </c>
      <c r="C29" s="38">
        <v>28783153</v>
      </c>
      <c r="D29" s="38">
        <v>26624742</v>
      </c>
      <c r="E29" s="38">
        <f>27808859+539959</f>
        <v>28348818</v>
      </c>
      <c r="F29" s="38">
        <f>26808479-38570</f>
        <v>26769909</v>
      </c>
      <c r="G29" s="11">
        <f t="shared" si="0"/>
        <v>434335</v>
      </c>
      <c r="H29" s="12">
        <f t="shared" si="1"/>
        <v>-145167</v>
      </c>
    </row>
    <row r="30" spans="1:8" ht="27.75" customHeight="1">
      <c r="A30" s="17">
        <v>4</v>
      </c>
      <c r="B30" s="18" t="s">
        <v>3</v>
      </c>
      <c r="C30" s="38">
        <v>1784097</v>
      </c>
      <c r="D30" s="38">
        <v>2151436</v>
      </c>
      <c r="E30" s="38">
        <f>2856684+103000</f>
        <v>2959684</v>
      </c>
      <c r="F30" s="38">
        <f>4797896-6000</f>
        <v>4791896</v>
      </c>
      <c r="G30" s="11">
        <f t="shared" si="0"/>
        <v>-1175587</v>
      </c>
      <c r="H30" s="12">
        <f t="shared" si="1"/>
        <v>-2640460</v>
      </c>
    </row>
    <row r="31" spans="1:8" ht="27.75" customHeight="1">
      <c r="A31" s="17">
        <v>5</v>
      </c>
      <c r="B31" s="18" t="s">
        <v>4</v>
      </c>
      <c r="C31" s="38">
        <v>93363</v>
      </c>
      <c r="D31" s="38">
        <v>8776</v>
      </c>
      <c r="E31" s="38">
        <v>136500</v>
      </c>
      <c r="F31" s="38">
        <f>9517-200</f>
        <v>9317</v>
      </c>
      <c r="G31" s="11">
        <f t="shared" si="0"/>
        <v>-43137</v>
      </c>
      <c r="H31" s="12">
        <f t="shared" si="1"/>
        <v>-541</v>
      </c>
    </row>
    <row r="32" spans="1:8" ht="27.75" customHeight="1">
      <c r="A32" s="17">
        <v>6</v>
      </c>
      <c r="B32" s="18" t="s">
        <v>43</v>
      </c>
      <c r="C32" s="38">
        <v>101704</v>
      </c>
      <c r="D32" s="38">
        <v>22137</v>
      </c>
      <c r="E32" s="38">
        <v>102234</v>
      </c>
      <c r="F32" s="38">
        <v>46696</v>
      </c>
      <c r="G32" s="11">
        <f t="shared" si="0"/>
        <v>-530</v>
      </c>
      <c r="H32" s="12">
        <f t="shared" si="1"/>
        <v>-24559</v>
      </c>
    </row>
    <row r="33" spans="1:8" ht="39.75" customHeight="1">
      <c r="A33" s="17">
        <v>7</v>
      </c>
      <c r="B33" s="30" t="s">
        <v>90</v>
      </c>
      <c r="C33" s="38">
        <v>115127612</v>
      </c>
      <c r="D33" s="38">
        <v>121193380</v>
      </c>
      <c r="E33" s="38">
        <v>110704888</v>
      </c>
      <c r="F33" s="38">
        <v>116847565</v>
      </c>
      <c r="G33" s="11">
        <f t="shared" si="0"/>
        <v>4422724</v>
      </c>
      <c r="H33" s="12">
        <f t="shared" si="1"/>
        <v>4345815</v>
      </c>
    </row>
    <row r="34" spans="1:8" ht="39.75" customHeight="1">
      <c r="A34" s="23">
        <v>8</v>
      </c>
      <c r="B34" s="24" t="s">
        <v>5</v>
      </c>
      <c r="C34" s="43">
        <v>36139518</v>
      </c>
      <c r="D34" s="43">
        <v>33642741</v>
      </c>
      <c r="E34" s="43">
        <v>33864662</v>
      </c>
      <c r="F34" s="43">
        <v>31805396</v>
      </c>
      <c r="G34" s="25">
        <f t="shared" si="0"/>
        <v>2274856</v>
      </c>
      <c r="H34" s="26">
        <f t="shared" si="1"/>
        <v>1837345</v>
      </c>
    </row>
    <row r="35" spans="1:8" ht="39.75" customHeight="1">
      <c r="A35" s="17">
        <v>9</v>
      </c>
      <c r="B35" s="19" t="s">
        <v>6</v>
      </c>
      <c r="C35" s="38">
        <v>12103086</v>
      </c>
      <c r="D35" s="38">
        <v>11991686</v>
      </c>
      <c r="E35" s="38">
        <v>11648885</v>
      </c>
      <c r="F35" s="38">
        <v>11522089</v>
      </c>
      <c r="G35" s="11">
        <f t="shared" si="0"/>
        <v>454201</v>
      </c>
      <c r="H35" s="12">
        <f t="shared" si="1"/>
        <v>469597</v>
      </c>
    </row>
    <row r="36" spans="1:8" ht="39.75" customHeight="1">
      <c r="A36" s="17">
        <v>10</v>
      </c>
      <c r="B36" s="19" t="s">
        <v>44</v>
      </c>
      <c r="C36" s="38">
        <v>2865635</v>
      </c>
      <c r="D36" s="38">
        <v>2856345</v>
      </c>
      <c r="E36" s="38">
        <v>2844070</v>
      </c>
      <c r="F36" s="38">
        <v>2836570</v>
      </c>
      <c r="G36" s="11">
        <f t="shared" si="0"/>
        <v>21565</v>
      </c>
      <c r="H36" s="12">
        <f t="shared" si="1"/>
        <v>19775</v>
      </c>
    </row>
    <row r="37" spans="1:8" ht="27.75" customHeight="1">
      <c r="A37" s="17">
        <v>11</v>
      </c>
      <c r="B37" s="19" t="s">
        <v>45</v>
      </c>
      <c r="C37" s="38">
        <v>1984121</v>
      </c>
      <c r="D37" s="38">
        <v>2312821</v>
      </c>
      <c r="E37" s="38">
        <f>1846061+3000</f>
        <v>1849061</v>
      </c>
      <c r="F37" s="38">
        <v>2277763</v>
      </c>
      <c r="G37" s="11">
        <f t="shared" si="0"/>
        <v>135060</v>
      </c>
      <c r="H37" s="12">
        <f t="shared" si="1"/>
        <v>35058</v>
      </c>
    </row>
    <row r="38" spans="1:8" ht="36.75" customHeight="1">
      <c r="A38" s="17">
        <v>12</v>
      </c>
      <c r="B38" s="19" t="s">
        <v>46</v>
      </c>
      <c r="C38" s="38">
        <v>29405650</v>
      </c>
      <c r="D38" s="38">
        <v>32918421</v>
      </c>
      <c r="E38" s="38">
        <v>30414572</v>
      </c>
      <c r="F38" s="38">
        <v>34003401</v>
      </c>
      <c r="G38" s="11">
        <f t="shared" si="0"/>
        <v>-1008922</v>
      </c>
      <c r="H38" s="12">
        <f t="shared" si="1"/>
        <v>-1084980</v>
      </c>
    </row>
    <row r="39" spans="1:8" ht="34.5" customHeight="1">
      <c r="A39" s="17">
        <v>13</v>
      </c>
      <c r="B39" s="19" t="s">
        <v>47</v>
      </c>
      <c r="C39" s="38">
        <v>1077196</v>
      </c>
      <c r="D39" s="38">
        <v>1105743</v>
      </c>
      <c r="E39" s="38">
        <v>1066204</v>
      </c>
      <c r="F39" s="38">
        <f>1112785-1000</f>
        <v>1111785</v>
      </c>
      <c r="G39" s="11">
        <f t="shared" si="0"/>
        <v>10992</v>
      </c>
      <c r="H39" s="12">
        <f t="shared" si="1"/>
        <v>-6042</v>
      </c>
    </row>
    <row r="40" spans="1:8" ht="27.75" customHeight="1">
      <c r="A40" s="17">
        <v>14</v>
      </c>
      <c r="B40" s="18" t="s">
        <v>7</v>
      </c>
      <c r="C40" s="38">
        <v>12337331</v>
      </c>
      <c r="D40" s="38">
        <v>12743625</v>
      </c>
      <c r="E40" s="38">
        <v>14581344</v>
      </c>
      <c r="F40" s="38">
        <v>14937498</v>
      </c>
      <c r="G40" s="11">
        <f t="shared" si="0"/>
        <v>-2244013</v>
      </c>
      <c r="H40" s="12">
        <f t="shared" si="1"/>
        <v>-2193873</v>
      </c>
    </row>
    <row r="41" spans="1:8" ht="27.75" customHeight="1">
      <c r="A41" s="17">
        <v>15</v>
      </c>
      <c r="B41" s="18" t="s">
        <v>48</v>
      </c>
      <c r="C41" s="38">
        <v>8011691</v>
      </c>
      <c r="D41" s="38">
        <v>8488874</v>
      </c>
      <c r="E41" s="38">
        <v>7094223</v>
      </c>
      <c r="F41" s="38">
        <f>8208677-2000</f>
        <v>8206677</v>
      </c>
      <c r="G41" s="11">
        <f t="shared" si="0"/>
        <v>917468</v>
      </c>
      <c r="H41" s="12">
        <f t="shared" si="1"/>
        <v>282197</v>
      </c>
    </row>
    <row r="42" spans="1:8" ht="27.75" customHeight="1">
      <c r="A42" s="17">
        <v>16</v>
      </c>
      <c r="B42" s="18" t="s">
        <v>8</v>
      </c>
      <c r="C42" s="38">
        <v>69548685</v>
      </c>
      <c r="D42" s="38">
        <v>39191678</v>
      </c>
      <c r="E42" s="38">
        <f>64817837+1404860</f>
        <v>66222697</v>
      </c>
      <c r="F42" s="38">
        <f>41796060-210600</f>
        <v>41585460</v>
      </c>
      <c r="G42" s="11">
        <f t="shared" si="0"/>
        <v>3325988</v>
      </c>
      <c r="H42" s="12">
        <f t="shared" si="1"/>
        <v>-2393782</v>
      </c>
    </row>
    <row r="43" spans="1:8" ht="33.75" customHeight="1">
      <c r="A43" s="17">
        <v>17</v>
      </c>
      <c r="B43" s="18" t="s">
        <v>9</v>
      </c>
      <c r="C43" s="38">
        <f>2253499+19000</f>
        <v>2272499</v>
      </c>
      <c r="D43" s="38">
        <f>1614825-71070</f>
        <v>1543755</v>
      </c>
      <c r="E43" s="38">
        <f>2227055+2549</f>
        <v>2229604</v>
      </c>
      <c r="F43" s="38">
        <f>1426611-64783</f>
        <v>1361828</v>
      </c>
      <c r="G43" s="11">
        <f t="shared" si="0"/>
        <v>42895</v>
      </c>
      <c r="H43" s="12">
        <f t="shared" si="1"/>
        <v>181927</v>
      </c>
    </row>
    <row r="44" spans="1:8" ht="27.75" customHeight="1">
      <c r="A44" s="17">
        <v>18</v>
      </c>
      <c r="B44" s="18" t="s">
        <v>10</v>
      </c>
      <c r="C44" s="38">
        <v>56657430</v>
      </c>
      <c r="D44" s="38">
        <v>55034123</v>
      </c>
      <c r="E44" s="38">
        <v>53558875</v>
      </c>
      <c r="F44" s="38">
        <f>52493393-73000</f>
        <v>52420393</v>
      </c>
      <c r="G44" s="11">
        <f t="shared" si="0"/>
        <v>3098555</v>
      </c>
      <c r="H44" s="12">
        <f t="shared" si="1"/>
        <v>2613730</v>
      </c>
    </row>
    <row r="45" spans="1:8" ht="38.25" customHeight="1">
      <c r="A45" s="17">
        <v>19</v>
      </c>
      <c r="B45" s="18" t="s">
        <v>11</v>
      </c>
      <c r="C45" s="38">
        <v>15827907</v>
      </c>
      <c r="D45" s="38">
        <v>12244991</v>
      </c>
      <c r="E45" s="38">
        <f>15176606+210500</f>
        <v>15387106</v>
      </c>
      <c r="F45" s="38">
        <f>11940732.2-4840</f>
        <v>11935892.2</v>
      </c>
      <c r="G45" s="11">
        <f t="shared" si="0"/>
        <v>440801</v>
      </c>
      <c r="H45" s="12">
        <f t="shared" si="1"/>
        <v>309098.80000000075</v>
      </c>
    </row>
    <row r="46" spans="1:8" ht="24" customHeight="1">
      <c r="A46" s="17">
        <v>20</v>
      </c>
      <c r="B46" s="18" t="s">
        <v>12</v>
      </c>
      <c r="C46" s="38">
        <v>458622</v>
      </c>
      <c r="D46" s="38">
        <v>419426</v>
      </c>
      <c r="E46" s="38">
        <f>443405+5000</f>
        <v>448405</v>
      </c>
      <c r="F46" s="38">
        <f>390988-1000</f>
        <v>389988</v>
      </c>
      <c r="G46" s="11">
        <f t="shared" si="0"/>
        <v>10217</v>
      </c>
      <c r="H46" s="12">
        <f t="shared" si="1"/>
        <v>29438</v>
      </c>
    </row>
    <row r="47" spans="1:8" ht="26.25" customHeight="1">
      <c r="A47" s="17">
        <v>21</v>
      </c>
      <c r="B47" s="18" t="s">
        <v>49</v>
      </c>
      <c r="C47" s="38">
        <v>428736134</v>
      </c>
      <c r="D47" s="38">
        <v>428736134</v>
      </c>
      <c r="E47" s="38">
        <f>418540637-6110</f>
        <v>418534527</v>
      </c>
      <c r="F47" s="38">
        <f>418540637-6110</f>
        <v>418534527</v>
      </c>
      <c r="G47" s="11">
        <f t="shared" si="0"/>
        <v>10201607</v>
      </c>
      <c r="H47" s="12">
        <f t="shared" si="1"/>
        <v>10201607</v>
      </c>
    </row>
    <row r="48" spans="1:8" ht="24" customHeight="1">
      <c r="A48" s="17">
        <v>22</v>
      </c>
      <c r="B48" s="18" t="s">
        <v>13</v>
      </c>
      <c r="C48" s="38">
        <v>31789448</v>
      </c>
      <c r="D48" s="38">
        <v>30762726</v>
      </c>
      <c r="E48" s="38">
        <v>30337990</v>
      </c>
      <c r="F48" s="38">
        <f>29432962-6500</f>
        <v>29426462</v>
      </c>
      <c r="G48" s="11">
        <f t="shared" si="0"/>
        <v>1451458</v>
      </c>
      <c r="H48" s="12">
        <f t="shared" si="1"/>
        <v>1336264</v>
      </c>
    </row>
    <row r="49" spans="1:8" ht="34.5" customHeight="1">
      <c r="A49" s="17">
        <v>23</v>
      </c>
      <c r="B49" s="18" t="s">
        <v>50</v>
      </c>
      <c r="C49" s="38">
        <v>748592</v>
      </c>
      <c r="D49" s="38">
        <v>567557</v>
      </c>
      <c r="E49" s="38">
        <v>630194</v>
      </c>
      <c r="F49" s="38">
        <f>468123-4000</f>
        <v>464123</v>
      </c>
      <c r="G49" s="11">
        <f t="shared" si="0"/>
        <v>118398</v>
      </c>
      <c r="H49" s="12">
        <f t="shared" si="1"/>
        <v>103434</v>
      </c>
    </row>
    <row r="50" spans="1:8" ht="27.75" customHeight="1">
      <c r="A50" s="17">
        <v>24</v>
      </c>
      <c r="B50" s="18" t="s">
        <v>51</v>
      </c>
      <c r="C50" s="38">
        <v>642920046</v>
      </c>
      <c r="D50" s="38">
        <v>642920046</v>
      </c>
      <c r="E50" s="38">
        <f>610817207-3000</f>
        <v>610814207</v>
      </c>
      <c r="F50" s="38">
        <f>610817207-3000</f>
        <v>610814207</v>
      </c>
      <c r="G50" s="11">
        <f t="shared" si="0"/>
        <v>32105839</v>
      </c>
      <c r="H50" s="12">
        <f t="shared" si="1"/>
        <v>32105839</v>
      </c>
    </row>
    <row r="51" spans="1:8" ht="27.75" customHeight="1">
      <c r="A51" s="17">
        <v>25</v>
      </c>
      <c r="B51" s="18" t="s">
        <v>52</v>
      </c>
      <c r="C51" s="38">
        <v>102286709</v>
      </c>
      <c r="D51" s="38">
        <v>102286709</v>
      </c>
      <c r="E51" s="38">
        <v>99161920</v>
      </c>
      <c r="F51" s="38">
        <v>99161920</v>
      </c>
      <c r="G51" s="11">
        <f t="shared" si="0"/>
        <v>3124789</v>
      </c>
      <c r="H51" s="12">
        <f t="shared" si="1"/>
        <v>3124789</v>
      </c>
    </row>
    <row r="52" spans="1:8" s="20" customFormat="1" ht="27.75" customHeight="1">
      <c r="A52" s="17">
        <v>26</v>
      </c>
      <c r="B52" s="18" t="s">
        <v>53</v>
      </c>
      <c r="C52" s="38">
        <v>1129260</v>
      </c>
      <c r="D52" s="38">
        <v>1107147</v>
      </c>
      <c r="E52" s="38">
        <f>1242449+2000</f>
        <v>1244449</v>
      </c>
      <c r="F52" s="38">
        <f>1213426-7600</f>
        <v>1205826</v>
      </c>
      <c r="G52" s="11">
        <f t="shared" si="0"/>
        <v>-115189</v>
      </c>
      <c r="H52" s="12">
        <f t="shared" si="1"/>
        <v>-98679</v>
      </c>
    </row>
    <row r="53" spans="1:8" s="20" customFormat="1" ht="25.5" customHeight="1">
      <c r="A53" s="17">
        <v>27</v>
      </c>
      <c r="B53" s="18" t="s">
        <v>14</v>
      </c>
      <c r="C53" s="38">
        <f>735243+30000</f>
        <v>765243</v>
      </c>
      <c r="D53" s="38">
        <f>571465-1000</f>
        <v>570465</v>
      </c>
      <c r="E53" s="38">
        <f>964105+214000</f>
        <v>1178105</v>
      </c>
      <c r="F53" s="38">
        <f>681578-13000</f>
        <v>668578</v>
      </c>
      <c r="G53" s="11">
        <f t="shared" si="0"/>
        <v>-412862</v>
      </c>
      <c r="H53" s="12">
        <f t="shared" si="1"/>
        <v>-98113</v>
      </c>
    </row>
    <row r="54" spans="1:8" s="20" customFormat="1" ht="26.25" customHeight="1">
      <c r="A54" s="17">
        <v>28</v>
      </c>
      <c r="B54" s="18" t="s">
        <v>15</v>
      </c>
      <c r="C54" s="38">
        <v>1735508</v>
      </c>
      <c r="D54" s="38">
        <v>2844507</v>
      </c>
      <c r="E54" s="38">
        <f>1853767+500</f>
        <v>1854267</v>
      </c>
      <c r="F54" s="38">
        <f>2977634-1000</f>
        <v>2976634</v>
      </c>
      <c r="G54" s="11">
        <f t="shared" si="0"/>
        <v>-118759</v>
      </c>
      <c r="H54" s="12">
        <f t="shared" si="1"/>
        <v>-132127</v>
      </c>
    </row>
    <row r="55" spans="1:8" s="20" customFormat="1" ht="26.25" customHeight="1">
      <c r="A55" s="17">
        <v>29</v>
      </c>
      <c r="B55" s="18" t="s">
        <v>54</v>
      </c>
      <c r="C55" s="38">
        <v>643608</v>
      </c>
      <c r="D55" s="38">
        <v>629909</v>
      </c>
      <c r="E55" s="38">
        <v>624124</v>
      </c>
      <c r="F55" s="38">
        <f>614292-676</f>
        <v>613616</v>
      </c>
      <c r="G55" s="11">
        <f t="shared" si="0"/>
        <v>19484</v>
      </c>
      <c r="H55" s="12">
        <f t="shared" si="1"/>
        <v>16293</v>
      </c>
    </row>
    <row r="56" spans="1:8" s="39" customFormat="1" ht="27.75" customHeight="1">
      <c r="A56" s="58" t="s">
        <v>55</v>
      </c>
      <c r="B56" s="53"/>
      <c r="C56" s="11">
        <f>+C57</f>
        <v>775516554</v>
      </c>
      <c r="D56" s="11">
        <f>+D57</f>
        <v>775515693</v>
      </c>
      <c r="E56" s="11">
        <f>+E57</f>
        <v>810258485</v>
      </c>
      <c r="F56" s="11">
        <f>+F57</f>
        <v>810256446</v>
      </c>
      <c r="G56" s="11">
        <f t="shared" si="0"/>
        <v>-34741931</v>
      </c>
      <c r="H56" s="12">
        <f t="shared" si="1"/>
        <v>-34740753</v>
      </c>
    </row>
    <row r="57" spans="1:8" ht="27.75" customHeight="1">
      <c r="A57" s="17"/>
      <c r="B57" s="16" t="s">
        <v>16</v>
      </c>
      <c r="C57" s="11">
        <v>775516554</v>
      </c>
      <c r="D57" s="11">
        <v>775515693</v>
      </c>
      <c r="E57" s="11">
        <v>810258485</v>
      </c>
      <c r="F57" s="11">
        <v>810256446</v>
      </c>
      <c r="G57" s="11">
        <f t="shared" si="0"/>
        <v>-34741931</v>
      </c>
      <c r="H57" s="12">
        <f t="shared" si="1"/>
        <v>-34740753</v>
      </c>
    </row>
    <row r="58" spans="1:8" s="39" customFormat="1" ht="42" customHeight="1">
      <c r="A58" s="63" t="s">
        <v>56</v>
      </c>
      <c r="B58" s="64"/>
      <c r="C58" s="11">
        <f aca="true" t="shared" si="2" ref="C58:H58">SUM(C59:C82)</f>
        <v>249685408</v>
      </c>
      <c r="D58" s="11">
        <f t="shared" si="2"/>
        <v>250734664</v>
      </c>
      <c r="E58" s="11">
        <f t="shared" si="2"/>
        <v>228603611</v>
      </c>
      <c r="F58" s="11">
        <f t="shared" si="2"/>
        <v>219832097</v>
      </c>
      <c r="G58" s="11">
        <f t="shared" si="2"/>
        <v>21081797</v>
      </c>
      <c r="H58" s="11">
        <f t="shared" si="2"/>
        <v>30902567</v>
      </c>
    </row>
    <row r="59" spans="1:8" ht="36" customHeight="1">
      <c r="A59" s="17">
        <v>1</v>
      </c>
      <c r="B59" s="21" t="s">
        <v>57</v>
      </c>
      <c r="C59" s="38">
        <f>4702575-111712+7000</f>
        <v>4597863</v>
      </c>
      <c r="D59" s="38">
        <f>4854659-111712-1000</f>
        <v>4741947</v>
      </c>
      <c r="E59" s="38">
        <f>5263816-223732</f>
        <v>5040084</v>
      </c>
      <c r="F59" s="11">
        <f>5309271-226265</f>
        <v>5083006</v>
      </c>
      <c r="G59" s="11">
        <f t="shared" si="0"/>
        <v>-442221</v>
      </c>
      <c r="H59" s="12">
        <f t="shared" si="1"/>
        <v>-341059</v>
      </c>
    </row>
    <row r="60" spans="1:8" ht="38.25" customHeight="1">
      <c r="A60" s="17">
        <v>2</v>
      </c>
      <c r="B60" s="18" t="s">
        <v>17</v>
      </c>
      <c r="C60" s="38">
        <f>37476229-3034414+14128</f>
        <v>34455943</v>
      </c>
      <c r="D60" s="38">
        <v>40625229</v>
      </c>
      <c r="E60" s="38">
        <f>43925745-1644317</f>
        <v>42281428</v>
      </c>
      <c r="F60" s="11">
        <f>45574745-398912</f>
        <v>45175833</v>
      </c>
      <c r="G60" s="11">
        <f t="shared" si="0"/>
        <v>-7825485</v>
      </c>
      <c r="H60" s="12">
        <f t="shared" si="1"/>
        <v>-4550604</v>
      </c>
    </row>
    <row r="61" spans="1:8" ht="23.25" customHeight="1">
      <c r="A61" s="17">
        <v>3</v>
      </c>
      <c r="B61" s="18" t="s">
        <v>18</v>
      </c>
      <c r="C61" s="38">
        <v>25802</v>
      </c>
      <c r="D61" s="38">
        <v>800448</v>
      </c>
      <c r="E61" s="38">
        <v>34953</v>
      </c>
      <c r="F61" s="11">
        <v>800704</v>
      </c>
      <c r="G61" s="11">
        <f t="shared" si="0"/>
        <v>-9151</v>
      </c>
      <c r="H61" s="12">
        <f t="shared" si="1"/>
        <v>-256</v>
      </c>
    </row>
    <row r="62" spans="1:8" ht="36.75" customHeight="1">
      <c r="A62" s="17">
        <v>4</v>
      </c>
      <c r="B62" s="18" t="s">
        <v>19</v>
      </c>
      <c r="C62" s="38">
        <v>7885004</v>
      </c>
      <c r="D62" s="38">
        <v>8521803</v>
      </c>
      <c r="E62" s="38">
        <v>8235962</v>
      </c>
      <c r="F62" s="11">
        <v>8493789</v>
      </c>
      <c r="G62" s="11">
        <f t="shared" si="0"/>
        <v>-350958</v>
      </c>
      <c r="H62" s="12">
        <f t="shared" si="1"/>
        <v>28014</v>
      </c>
    </row>
    <row r="63" spans="1:8" ht="26.25" customHeight="1">
      <c r="A63" s="23">
        <v>5</v>
      </c>
      <c r="B63" s="24" t="s">
        <v>58</v>
      </c>
      <c r="C63" s="43">
        <v>1044200</v>
      </c>
      <c r="D63" s="43">
        <v>1008162</v>
      </c>
      <c r="E63" s="43">
        <f>1212200-64247</f>
        <v>1147953</v>
      </c>
      <c r="F63" s="25">
        <f>1723148-172158</f>
        <v>1550990</v>
      </c>
      <c r="G63" s="25">
        <f t="shared" si="0"/>
        <v>-103753</v>
      </c>
      <c r="H63" s="26">
        <f t="shared" si="1"/>
        <v>-542828</v>
      </c>
    </row>
    <row r="64" spans="1:8" ht="29.25" customHeight="1">
      <c r="A64" s="17">
        <v>6</v>
      </c>
      <c r="B64" s="18" t="s">
        <v>59</v>
      </c>
      <c r="C64" s="38">
        <v>302010</v>
      </c>
      <c r="D64" s="38">
        <v>313180</v>
      </c>
      <c r="E64" s="38">
        <v>303200</v>
      </c>
      <c r="F64" s="11">
        <v>315958</v>
      </c>
      <c r="G64" s="11">
        <f t="shared" si="0"/>
        <v>-1190</v>
      </c>
      <c r="H64" s="12">
        <f t="shared" si="1"/>
        <v>-2778</v>
      </c>
    </row>
    <row r="65" spans="1:8" ht="36" customHeight="1">
      <c r="A65" s="17">
        <v>7</v>
      </c>
      <c r="B65" s="18" t="s">
        <v>60</v>
      </c>
      <c r="C65" s="38">
        <v>1328995</v>
      </c>
      <c r="D65" s="38">
        <f>1222880-500-143-500</f>
        <v>1221737</v>
      </c>
      <c r="E65" s="38">
        <v>1648863</v>
      </c>
      <c r="F65" s="11">
        <f>1507155-500</f>
        <v>1506655</v>
      </c>
      <c r="G65" s="11">
        <f t="shared" si="0"/>
        <v>-319868</v>
      </c>
      <c r="H65" s="12">
        <f t="shared" si="1"/>
        <v>-284918</v>
      </c>
    </row>
    <row r="66" spans="1:8" ht="53.25" customHeight="1">
      <c r="A66" s="17">
        <v>8</v>
      </c>
      <c r="B66" s="18" t="s">
        <v>61</v>
      </c>
      <c r="C66" s="11">
        <v>2522</v>
      </c>
      <c r="D66" s="11">
        <v>19221</v>
      </c>
      <c r="E66" s="11">
        <v>2384</v>
      </c>
      <c r="F66" s="11">
        <v>19371</v>
      </c>
      <c r="G66" s="11">
        <f t="shared" si="0"/>
        <v>138</v>
      </c>
      <c r="H66" s="12">
        <f t="shared" si="1"/>
        <v>-150</v>
      </c>
    </row>
    <row r="67" spans="1:8" ht="23.25" customHeight="1">
      <c r="A67" s="17">
        <v>9</v>
      </c>
      <c r="B67" s="18" t="s">
        <v>68</v>
      </c>
      <c r="C67" s="11">
        <v>120168</v>
      </c>
      <c r="D67" s="11">
        <v>120168</v>
      </c>
      <c r="E67" s="11">
        <f>134200-6855</f>
        <v>127345</v>
      </c>
      <c r="F67" s="11">
        <f>133612-6855</f>
        <v>126757</v>
      </c>
      <c r="G67" s="11">
        <f t="shared" si="0"/>
        <v>-7177</v>
      </c>
      <c r="H67" s="12">
        <f t="shared" si="1"/>
        <v>-6589</v>
      </c>
    </row>
    <row r="68" spans="1:8" ht="22.5" customHeight="1">
      <c r="A68" s="17">
        <v>10</v>
      </c>
      <c r="B68" s="18" t="s">
        <v>20</v>
      </c>
      <c r="C68" s="11">
        <v>788134</v>
      </c>
      <c r="D68" s="11">
        <v>1270301</v>
      </c>
      <c r="E68" s="11">
        <v>745283</v>
      </c>
      <c r="F68" s="11">
        <f>1179972-11000</f>
        <v>1168972</v>
      </c>
      <c r="G68" s="11">
        <f t="shared" si="0"/>
        <v>42851</v>
      </c>
      <c r="H68" s="12">
        <f t="shared" si="1"/>
        <v>101329</v>
      </c>
    </row>
    <row r="69" spans="1:8" ht="27.75" customHeight="1">
      <c r="A69" s="17">
        <v>11</v>
      </c>
      <c r="B69" s="18" t="s">
        <v>62</v>
      </c>
      <c r="C69" s="11">
        <v>3373932</v>
      </c>
      <c r="D69" s="11">
        <v>4252260</v>
      </c>
      <c r="E69" s="11">
        <f>2580000+300000</f>
        <v>2880000</v>
      </c>
      <c r="F69" s="11">
        <f>2677200-400</f>
        <v>2676800</v>
      </c>
      <c r="G69" s="11">
        <f t="shared" si="0"/>
        <v>493932</v>
      </c>
      <c r="H69" s="12">
        <f t="shared" si="1"/>
        <v>1575460</v>
      </c>
    </row>
    <row r="70" spans="1:8" ht="39" customHeight="1">
      <c r="A70" s="17">
        <v>12</v>
      </c>
      <c r="B70" s="18" t="s">
        <v>69</v>
      </c>
      <c r="C70" s="38">
        <v>817200</v>
      </c>
      <c r="D70" s="38">
        <v>109377</v>
      </c>
      <c r="E70" s="11">
        <v>2500000</v>
      </c>
      <c r="F70" s="11">
        <v>200000</v>
      </c>
      <c r="G70" s="11">
        <f t="shared" si="0"/>
        <v>-1682800</v>
      </c>
      <c r="H70" s="12">
        <f t="shared" si="1"/>
        <v>-90623</v>
      </c>
    </row>
    <row r="71" spans="1:8" ht="27.75" customHeight="1">
      <c r="A71" s="17">
        <v>13</v>
      </c>
      <c r="B71" s="18" t="s">
        <v>21</v>
      </c>
      <c r="C71" s="38">
        <v>24170616</v>
      </c>
      <c r="D71" s="38">
        <v>28015521</v>
      </c>
      <c r="E71" s="11">
        <v>20982378</v>
      </c>
      <c r="F71" s="11">
        <f>24821394-1534484</f>
        <v>23286910</v>
      </c>
      <c r="G71" s="11">
        <f aca="true" t="shared" si="3" ref="G71:G84">C71-E71</f>
        <v>3188238</v>
      </c>
      <c r="H71" s="12">
        <f aca="true" t="shared" si="4" ref="H71:H84">D71-F71</f>
        <v>4728611</v>
      </c>
    </row>
    <row r="72" spans="1:8" ht="27.75" customHeight="1">
      <c r="A72" s="17">
        <v>14</v>
      </c>
      <c r="B72" s="18" t="s">
        <v>22</v>
      </c>
      <c r="C72" s="38">
        <f>8156685+860000</f>
        <v>9016685</v>
      </c>
      <c r="D72" s="38">
        <f>2373999-20000-113327</f>
        <v>2240672</v>
      </c>
      <c r="E72" s="11">
        <v>10127972</v>
      </c>
      <c r="F72" s="11">
        <f>2298984-123583</f>
        <v>2175401</v>
      </c>
      <c r="G72" s="11">
        <f t="shared" si="3"/>
        <v>-1111287</v>
      </c>
      <c r="H72" s="12">
        <f t="shared" si="4"/>
        <v>65271</v>
      </c>
    </row>
    <row r="73" spans="1:8" ht="27.75" customHeight="1">
      <c r="A73" s="17">
        <v>15</v>
      </c>
      <c r="B73" s="18" t="s">
        <v>23</v>
      </c>
      <c r="C73" s="38">
        <v>8588557</v>
      </c>
      <c r="D73" s="38">
        <v>7985683</v>
      </c>
      <c r="E73" s="11">
        <f>8667086-25049</f>
        <v>8642037</v>
      </c>
      <c r="F73" s="11">
        <f>9750334-82700</f>
        <v>9667634</v>
      </c>
      <c r="G73" s="11">
        <f t="shared" si="3"/>
        <v>-53480</v>
      </c>
      <c r="H73" s="12">
        <f t="shared" si="4"/>
        <v>-1681951</v>
      </c>
    </row>
    <row r="74" spans="1:8" ht="27.75" customHeight="1">
      <c r="A74" s="17">
        <v>16</v>
      </c>
      <c r="B74" s="18" t="s">
        <v>24</v>
      </c>
      <c r="C74" s="38">
        <v>118045</v>
      </c>
      <c r="D74" s="38">
        <v>116206</v>
      </c>
      <c r="E74" s="11">
        <v>166716</v>
      </c>
      <c r="F74" s="11">
        <f>123940-300</f>
        <v>123640</v>
      </c>
      <c r="G74" s="11">
        <f t="shared" si="3"/>
        <v>-48671</v>
      </c>
      <c r="H74" s="12">
        <f t="shared" si="4"/>
        <v>-7434</v>
      </c>
    </row>
    <row r="75" spans="1:8" ht="27.75" customHeight="1">
      <c r="A75" s="17">
        <v>17</v>
      </c>
      <c r="B75" s="18" t="s">
        <v>25</v>
      </c>
      <c r="C75" s="38">
        <v>52209417</v>
      </c>
      <c r="D75" s="38">
        <v>41609742</v>
      </c>
      <c r="E75" s="11">
        <f>45821801-471348</f>
        <v>45350453</v>
      </c>
      <c r="F75" s="11">
        <f>40225698-68700</f>
        <v>40156998</v>
      </c>
      <c r="G75" s="11">
        <f t="shared" si="3"/>
        <v>6858964</v>
      </c>
      <c r="H75" s="12">
        <f t="shared" si="4"/>
        <v>1452744</v>
      </c>
    </row>
    <row r="76" spans="1:8" ht="27.75" customHeight="1">
      <c r="A76" s="17">
        <v>18</v>
      </c>
      <c r="B76" s="18" t="s">
        <v>26</v>
      </c>
      <c r="C76" s="38">
        <v>20695898</v>
      </c>
      <c r="D76" s="38">
        <v>15882547</v>
      </c>
      <c r="E76" s="11">
        <f>20026585-1000</f>
        <v>20025585</v>
      </c>
      <c r="F76" s="11">
        <f>16757026-292331</f>
        <v>16464695</v>
      </c>
      <c r="G76" s="11">
        <f t="shared" si="3"/>
        <v>670313</v>
      </c>
      <c r="H76" s="12">
        <f t="shared" si="4"/>
        <v>-582148</v>
      </c>
    </row>
    <row r="77" spans="1:8" ht="27.75" customHeight="1">
      <c r="A77" s="17">
        <v>19</v>
      </c>
      <c r="B77" s="18" t="s">
        <v>70</v>
      </c>
      <c r="C77" s="38">
        <v>45159676</v>
      </c>
      <c r="D77" s="38">
        <v>52982404</v>
      </c>
      <c r="E77" s="11">
        <v>24537482</v>
      </c>
      <c r="F77" s="11">
        <f>25021543-89974</f>
        <v>24931569</v>
      </c>
      <c r="G77" s="11">
        <f t="shared" si="3"/>
        <v>20622194</v>
      </c>
      <c r="H77" s="12">
        <f t="shared" si="4"/>
        <v>28050835</v>
      </c>
    </row>
    <row r="78" spans="1:8" ht="27.75" customHeight="1">
      <c r="A78" s="17">
        <v>20</v>
      </c>
      <c r="B78" s="18" t="s">
        <v>27</v>
      </c>
      <c r="C78" s="38">
        <v>9469014</v>
      </c>
      <c r="D78" s="38">
        <v>14363409</v>
      </c>
      <c r="E78" s="11">
        <v>7185347</v>
      </c>
      <c r="F78" s="11">
        <f>10387110-200360</f>
        <v>10186750</v>
      </c>
      <c r="G78" s="11">
        <f t="shared" si="3"/>
        <v>2283667</v>
      </c>
      <c r="H78" s="12">
        <f t="shared" si="4"/>
        <v>4176659</v>
      </c>
    </row>
    <row r="79" spans="1:8" ht="27.75" customHeight="1">
      <c r="A79" s="17">
        <v>21</v>
      </c>
      <c r="B79" s="18" t="s">
        <v>28</v>
      </c>
      <c r="C79" s="38">
        <v>24631692</v>
      </c>
      <c r="D79" s="38">
        <v>23738060</v>
      </c>
      <c r="E79" s="11">
        <v>25811866</v>
      </c>
      <c r="F79" s="11">
        <f>24996369-800</f>
        <v>24995569</v>
      </c>
      <c r="G79" s="11">
        <f t="shared" si="3"/>
        <v>-1180174</v>
      </c>
      <c r="H79" s="12">
        <f t="shared" si="4"/>
        <v>-1257509</v>
      </c>
    </row>
    <row r="80" spans="1:8" ht="27.75" customHeight="1">
      <c r="A80" s="17">
        <v>22</v>
      </c>
      <c r="B80" s="18" t="s">
        <v>63</v>
      </c>
      <c r="C80" s="38">
        <v>466192</v>
      </c>
      <c r="D80" s="36">
        <f>429635-6950</f>
        <v>422685</v>
      </c>
      <c r="E80" s="11">
        <v>397939</v>
      </c>
      <c r="F80" s="11">
        <f>363469-8300</f>
        <v>355169</v>
      </c>
      <c r="G80" s="11">
        <f t="shared" si="3"/>
        <v>68253</v>
      </c>
      <c r="H80" s="12">
        <f t="shared" si="4"/>
        <v>67516</v>
      </c>
    </row>
    <row r="81" spans="1:8" s="22" customFormat="1" ht="39" customHeight="1">
      <c r="A81" s="17">
        <v>23</v>
      </c>
      <c r="B81" s="18" t="s">
        <v>64</v>
      </c>
      <c r="C81" s="38">
        <v>371149</v>
      </c>
      <c r="D81" s="38">
        <v>354244</v>
      </c>
      <c r="E81" s="11">
        <v>368827</v>
      </c>
      <c r="F81" s="11">
        <f>347737-1000</f>
        <v>346737</v>
      </c>
      <c r="G81" s="11">
        <f t="shared" si="3"/>
        <v>2322</v>
      </c>
      <c r="H81" s="12">
        <f t="shared" si="4"/>
        <v>7507</v>
      </c>
    </row>
    <row r="82" spans="1:8" s="22" customFormat="1" ht="21.75" customHeight="1">
      <c r="A82" s="17">
        <v>24</v>
      </c>
      <c r="B82" s="18" t="s">
        <v>65</v>
      </c>
      <c r="C82" s="38">
        <v>46694</v>
      </c>
      <c r="D82" s="38">
        <v>19658</v>
      </c>
      <c r="E82" s="11">
        <f>46694+12860</f>
        <v>59554</v>
      </c>
      <c r="F82" s="11">
        <f>22510-320</f>
        <v>22190</v>
      </c>
      <c r="G82" s="11">
        <f t="shared" si="3"/>
        <v>-12860</v>
      </c>
      <c r="H82" s="12">
        <f t="shared" si="4"/>
        <v>-2532</v>
      </c>
    </row>
    <row r="83" spans="1:8" s="39" customFormat="1" ht="39" customHeight="1">
      <c r="A83" s="54" t="s">
        <v>66</v>
      </c>
      <c r="B83" s="55"/>
      <c r="C83" s="11">
        <v>11625056</v>
      </c>
      <c r="D83" s="11">
        <v>6597789</v>
      </c>
      <c r="E83" s="11">
        <v>7917563</v>
      </c>
      <c r="F83" s="11">
        <v>4829292</v>
      </c>
      <c r="G83" s="11">
        <f t="shared" si="3"/>
        <v>3707493</v>
      </c>
      <c r="H83" s="12">
        <f t="shared" si="4"/>
        <v>1768497</v>
      </c>
    </row>
    <row r="84" spans="1:8" ht="36" customHeight="1">
      <c r="A84" s="23"/>
      <c r="B84" s="24" t="s">
        <v>67</v>
      </c>
      <c r="C84" s="25">
        <v>11625056</v>
      </c>
      <c r="D84" s="25">
        <v>6597789</v>
      </c>
      <c r="E84" s="25">
        <v>7917563</v>
      </c>
      <c r="F84" s="25">
        <v>4829292</v>
      </c>
      <c r="G84" s="11">
        <f t="shared" si="3"/>
        <v>3707493</v>
      </c>
      <c r="H84" s="26">
        <f t="shared" si="4"/>
        <v>1768497</v>
      </c>
    </row>
    <row r="85" spans="1:8" ht="18" customHeight="1">
      <c r="A85" s="51" t="s">
        <v>81</v>
      </c>
      <c r="B85" s="51"/>
      <c r="C85" s="1"/>
      <c r="D85" s="1"/>
      <c r="E85" s="1"/>
      <c r="F85" s="1"/>
      <c r="G85" s="1"/>
      <c r="H85" s="1"/>
    </row>
    <row r="86" spans="1:8" ht="18.75" customHeight="1">
      <c r="A86" s="27" t="s">
        <v>82</v>
      </c>
      <c r="B86" s="62" t="s">
        <v>83</v>
      </c>
      <c r="C86" s="62"/>
      <c r="D86" s="62"/>
      <c r="E86" s="62"/>
      <c r="F86" s="62"/>
      <c r="G86" s="62"/>
      <c r="H86" s="62"/>
    </row>
    <row r="87" spans="1:8" ht="18.75" customHeight="1">
      <c r="A87" s="27" t="s">
        <v>29</v>
      </c>
      <c r="B87" s="62" t="s">
        <v>84</v>
      </c>
      <c r="C87" s="62"/>
      <c r="D87" s="62"/>
      <c r="E87" s="62"/>
      <c r="F87" s="62"/>
      <c r="G87" s="62"/>
      <c r="H87" s="62"/>
    </row>
    <row r="88" spans="1:8" ht="69" customHeight="1">
      <c r="A88" s="27">
        <v>3</v>
      </c>
      <c r="B88" s="62" t="s">
        <v>85</v>
      </c>
      <c r="C88" s="62"/>
      <c r="D88" s="62"/>
      <c r="E88" s="62"/>
      <c r="F88" s="62"/>
      <c r="G88" s="62"/>
      <c r="H88" s="62"/>
    </row>
    <row r="89" spans="1:8" ht="36" customHeight="1">
      <c r="A89" s="27">
        <v>4</v>
      </c>
      <c r="B89" s="61" t="s">
        <v>96</v>
      </c>
      <c r="C89" s="61"/>
      <c r="D89" s="61"/>
      <c r="E89" s="61"/>
      <c r="F89" s="61"/>
      <c r="G89" s="61"/>
      <c r="H89" s="61"/>
    </row>
    <row r="90" spans="1:8" ht="36.75" customHeight="1">
      <c r="A90" s="27">
        <v>5</v>
      </c>
      <c r="B90" s="61" t="s">
        <v>97</v>
      </c>
      <c r="C90" s="61"/>
      <c r="D90" s="61"/>
      <c r="E90" s="61"/>
      <c r="F90" s="61"/>
      <c r="G90" s="61"/>
      <c r="H90" s="61"/>
    </row>
    <row r="91" ht="16.5">
      <c r="A91" s="28"/>
    </row>
  </sheetData>
  <sheetProtection/>
  <mergeCells count="23">
    <mergeCell ref="B90:H90"/>
    <mergeCell ref="B86:H86"/>
    <mergeCell ref="B87:H87"/>
    <mergeCell ref="B88:H88"/>
    <mergeCell ref="B89:H89"/>
    <mergeCell ref="G4:H4"/>
    <mergeCell ref="A10:B10"/>
    <mergeCell ref="A6:B6"/>
    <mergeCell ref="A8:B8"/>
    <mergeCell ref="A85:B85"/>
    <mergeCell ref="A7:B7"/>
    <mergeCell ref="A83:B83"/>
    <mergeCell ref="A9:B9"/>
    <mergeCell ref="A26:B26"/>
    <mergeCell ref="A56:B56"/>
    <mergeCell ref="A58:B58"/>
    <mergeCell ref="C1:F1"/>
    <mergeCell ref="A4:B5"/>
    <mergeCell ref="C4:D4"/>
    <mergeCell ref="E4:F4"/>
    <mergeCell ref="A2:B2"/>
    <mergeCell ref="C2:F2"/>
    <mergeCell ref="D3:E3"/>
  </mergeCells>
  <printOptions horizontalCentered="1"/>
  <pageMargins left="0.5511811023622047" right="0.4724409448818898" top="0.3937007874015748" bottom="0.3937007874015748" header="0.31496062992125984" footer="0"/>
  <pageSetup blackAndWhite="1" cellComments="asDisplayed" fitToHeight="5" fitToWidth="1" horizontalDpi="600" verticalDpi="600" orientation="portrait" paperSize="9" scale="80" r:id="rId1"/>
  <headerFooter alignWithMargins="0">
    <oddHeader xml:space="preserve">&amp;R&amp;"CourierPS,標準"&amp;19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吳慧玲</dc:creator>
  <cp:keywords/>
  <dc:description/>
  <cp:lastModifiedBy>dgbas</cp:lastModifiedBy>
  <cp:lastPrinted>2019-05-10T02:00:46Z</cp:lastPrinted>
  <dcterms:created xsi:type="dcterms:W3CDTF">2005-07-07T03:23:46Z</dcterms:created>
  <dcterms:modified xsi:type="dcterms:W3CDTF">2019-05-10T02:00:52Z</dcterms:modified>
  <cp:category/>
  <cp:version/>
  <cp:contentType/>
  <cp:contentStatus/>
</cp:coreProperties>
</file>